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8475" windowHeight="5670"/>
  </bookViews>
  <sheets>
    <sheet name="RAB" sheetId="10" r:id="rId1"/>
    <sheet name="REKAP" sheetId="1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M">#REF!</definedName>
    <definedName name="\Q">#REF!</definedName>
    <definedName name="\S">#REF!</definedName>
    <definedName name="\W">#REF!</definedName>
    <definedName name="\WQ">'[1]BAG-2'!#REF!</definedName>
    <definedName name="__123Graph_A" hidden="1">'[2]arp-18'!$I$167:$U$167</definedName>
    <definedName name="__ahu100">#REF!</definedName>
    <definedName name="__ahu150">#REF!</definedName>
    <definedName name="__bsc100">#REF!</definedName>
    <definedName name="__ewr4">#REF!</definedName>
    <definedName name="__grc1">#REF!</definedName>
    <definedName name="__gyp7">'[3]Harga Material'!#REF!</definedName>
    <definedName name="__ker1020">#REF!</definedName>
    <definedName name="__ker40">'[4]HB '!#REF!</definedName>
    <definedName name="__pah150">#REF!</definedName>
    <definedName name="__pav8">#REF!</definedName>
    <definedName name="__ph100">#REF!</definedName>
    <definedName name="__ph150">#REF!</definedName>
    <definedName name="__phf100">#REF!</definedName>
    <definedName name="__phf150">#REF!</definedName>
    <definedName name="__pv100">#REF!</definedName>
    <definedName name="__pv50">#REF!</definedName>
    <definedName name="__pv80">#REF!</definedName>
    <definedName name="__pvc1">#REF!</definedName>
    <definedName name="__pvc12">#REF!</definedName>
    <definedName name="__pvc3">#REF!</definedName>
    <definedName name="__pvc34">#REF!</definedName>
    <definedName name="__pvf100">#REF!</definedName>
    <definedName name="__pvf80">#REF!</definedName>
    <definedName name="__vnt100">#REF!</definedName>
    <definedName name="__vnt50">#REF!</definedName>
    <definedName name="__vnt80">#REF!</definedName>
    <definedName name="_abs100">#REF!</definedName>
    <definedName name="_ako100">#REF!</definedName>
    <definedName name="_ako150">#REF!</definedName>
    <definedName name="_ako50">#REF!</definedName>
    <definedName name="_ako80">#REF!</definedName>
    <definedName name="_aku100">#REF!</definedName>
    <definedName name="_aku150">#REF!</definedName>
    <definedName name="_bcv100">#REF!</definedName>
    <definedName name="_bcv125">#REF!</definedName>
    <definedName name="_bcv150">#REF!</definedName>
    <definedName name="_cas80">#REF!</definedName>
    <definedName name="_cvd100">#REF!</definedName>
    <definedName name="_cvd15">#REF!</definedName>
    <definedName name="_cvd150">#REF!</definedName>
    <definedName name="_cvd50">#REF!</definedName>
    <definedName name="_cvd65">#REF!</definedName>
    <definedName name="_dia6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jd100">#REF!</definedName>
    <definedName name="_fjd150">#REF!</definedName>
    <definedName name="_fjd50">#REF!</definedName>
    <definedName name="_fjd65">#REF!</definedName>
    <definedName name="_fmd150">#REF!</definedName>
    <definedName name="_gra4040">#REF!</definedName>
    <definedName name="_gvd100">#REF!</definedName>
    <definedName name="_gvd15">#REF!</definedName>
    <definedName name="_gvd150">#REF!</definedName>
    <definedName name="_gvd25">#REF!</definedName>
    <definedName name="_gvd50">#REF!</definedName>
    <definedName name="_gvd65">#REF!</definedName>
    <definedName name="_gyp9">#REF!</definedName>
    <definedName name="_hdw1">#REF!</definedName>
    <definedName name="_ker2020">#REF!</definedName>
    <definedName name="_ker2025">#REF!</definedName>
    <definedName name="_ker3030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2">#REF!</definedName>
    <definedName name="_kof1">[5]Analisa!$AB$17</definedName>
    <definedName name="_mik2020">#REF!</definedName>
    <definedName name="_mik2025">#REF!</definedName>
    <definedName name="_mik2033">#REF!</definedName>
    <definedName name="_mik3333">#REF!</definedName>
    <definedName name="_mik3350">#REF!</definedName>
    <definedName name="_mik4040">#REF!</definedName>
    <definedName name="_mik6060">'[3]Harga Material'!$G$48</definedName>
    <definedName name="_Order1" hidden="1">255</definedName>
    <definedName name="_Order2" hidden="1">255</definedName>
    <definedName name="_pab100">#REF!</definedName>
    <definedName name="_pab125">#REF!</definedName>
    <definedName name="_pab15">#REF!</definedName>
    <definedName name="_pab150">#REF!</definedName>
    <definedName name="_pab2">#REF!</definedName>
    <definedName name="_pab20">#REF!</definedName>
    <definedName name="_pab25">#REF!</definedName>
    <definedName name="_pab32">#REF!</definedName>
    <definedName name="_pab4">#REF!</definedName>
    <definedName name="_pab40">#REF!</definedName>
    <definedName name="_pab50">#REF!</definedName>
    <definedName name="_pab6">#REF!</definedName>
    <definedName name="_pab65">#REF!</definedName>
    <definedName name="_pab80">#REF!</definedName>
    <definedName name="_pak100">#REF!</definedName>
    <definedName name="_pak150">#REF!</definedName>
    <definedName name="_pak50">#REF!</definedName>
    <definedName name="_pak80">#REF!</definedName>
    <definedName name="_pal2040">'[3]Harga Material'!$G$52</definedName>
    <definedName name="_pbs100">#REF!</definedName>
    <definedName name="_pbs15">#REF!</definedName>
    <definedName name="_pbs150">#REF!</definedName>
    <definedName name="_pbs40">#REF!</definedName>
    <definedName name="_pbs50">#REF!</definedName>
    <definedName name="_pbs65">#REF!</definedName>
    <definedName name="_pbs80">#REF!</definedName>
    <definedName name="_pc50">'[6]Harga Material'!$G$14</definedName>
    <definedName name="_pc80">#REF!</definedName>
    <definedName name="_pcf80">#REF!</definedName>
    <definedName name="_pv40">#REF!</definedName>
    <definedName name="_pvc44">#REF!</definedName>
    <definedName name="_sfv150">#REF!</definedName>
    <definedName name="_skl1">#REF!</definedName>
    <definedName name="_skl2">#REF!</definedName>
    <definedName name="_skl3">#REF!</definedName>
    <definedName name="_Sort" localSheetId="0" hidden="1">#REF!</definedName>
    <definedName name="_Sort" hidden="1">#REF!</definedName>
    <definedName name="_std100">#REF!</definedName>
    <definedName name="_std150">#REF!</definedName>
    <definedName name="_std50">#REF!</definedName>
    <definedName name="_std65">#REF!</definedName>
    <definedName name="_tsv25">#REF!</definedName>
    <definedName name="_vnt40">#REF!</definedName>
    <definedName name="A">#REF!</definedName>
    <definedName name="A_1">#REF!</definedName>
    <definedName name="A_2">#REF!</definedName>
    <definedName name="A460.">#REF!</definedName>
    <definedName name="A901.">#REF!</definedName>
    <definedName name="aa">#REF!</definedName>
    <definedName name="aax">#REF!</definedName>
    <definedName name="abch100">#REF!</definedName>
    <definedName name="aber100">#REF!</definedName>
    <definedName name="aber15">#REF!</definedName>
    <definedName name="Aber150">#REF!</definedName>
    <definedName name="aber2">#REF!</definedName>
    <definedName name="aber20">#REF!</definedName>
    <definedName name="aber25">#REF!</definedName>
    <definedName name="aber32">#REF!</definedName>
    <definedName name="aber4">#REF!</definedName>
    <definedName name="aber40">#REF!</definedName>
    <definedName name="aber50">#REF!</definedName>
    <definedName name="Aber6">#REF!</definedName>
    <definedName name="aber80">#REF!</definedName>
    <definedName name="aberf100">#REF!</definedName>
    <definedName name="aberf150">#REF!</definedName>
    <definedName name="aberf4">#REF!</definedName>
    <definedName name="aberf6">#REF!</definedName>
    <definedName name="aberf80">#REF!</definedName>
    <definedName name="abfj100">#REF!</definedName>
    <definedName name="abfj150">#REF!</definedName>
    <definedName name="abfj40">#REF!</definedName>
    <definedName name="abfj50">#REF!</definedName>
    <definedName name="abfl40">#REF!</definedName>
    <definedName name="abft100">#REF!</definedName>
    <definedName name="abft150">#REF!</definedName>
    <definedName name="abft50">#REF!</definedName>
    <definedName name="abfv100">#REF!</definedName>
    <definedName name="abfv150">#REF!</definedName>
    <definedName name="abfv50">#REF!</definedName>
    <definedName name="abfv80">#REF!</definedName>
    <definedName name="abgv100">#REF!</definedName>
    <definedName name="abgv150">#REF!</definedName>
    <definedName name="abgv20">#REF!</definedName>
    <definedName name="abgv32">#REF!</definedName>
    <definedName name="abgv40">#REF!</definedName>
    <definedName name="abgv50">#REF!</definedName>
    <definedName name="abka15">#REF!</definedName>
    <definedName name="abpg">#REF!</definedName>
    <definedName name="abwl">#REF!</definedName>
    <definedName name="ABX">#REF!</definedName>
    <definedName name="ACX">#REF!</definedName>
    <definedName name="aDD.8">#REF!</definedName>
    <definedName name="ADX">#REF!</definedName>
    <definedName name="agregat">'[7]HB '!$F$52</definedName>
    <definedName name="agregat_1">[8]HB!#REF!</definedName>
    <definedName name="ahrd100">#REF!</definedName>
    <definedName name="ahrd150">#REF!</definedName>
    <definedName name="ahuf100">#REF!</definedName>
    <definedName name="ahuf150">#REF!</definedName>
    <definedName name="ahuf150ahuf150">#REF!</definedName>
    <definedName name="akco100">#REF!</definedName>
    <definedName name="akco150">#REF!</definedName>
    <definedName name="akco80">#REF!</definedName>
    <definedName name="akfd50">#REF!</definedName>
    <definedName name="akfj100">#REF!</definedName>
    <definedName name="akgv100">#REF!</definedName>
    <definedName name="akgv80">#REF!</definedName>
    <definedName name="akof100">#REF!</definedName>
    <definedName name="akof150">#REF!</definedName>
    <definedName name="akof4">#REF!</definedName>
    <definedName name="akof6">#REF!</definedName>
    <definedName name="akof80">#REF!</definedName>
    <definedName name="akofl80">#REF!</definedName>
    <definedName name="akogv100">#REF!</definedName>
    <definedName name="akogv80">#REF!</definedName>
    <definedName name="AKT">'[9]bahan '!$B$158</definedName>
    <definedName name="alkali">'[3]Harga Material'!#REF!</definedName>
    <definedName name="almu">'[3]Harga Material'!#REF!</definedName>
    <definedName name="AM">'[9]bahan '!$B$157</definedName>
    <definedName name="amplas">#REF!</definedName>
    <definedName name="amplas180">#REF!</definedName>
    <definedName name="amplas400">#REF!</definedName>
    <definedName name="an.aci">'[3]Harsat-2009'!#REF!</definedName>
    <definedName name="an.asbes">'[3]Harsat-2009'!#REF!</definedName>
    <definedName name="an.b_ringan">'[3]Harsat-2009'!#REF!</definedName>
    <definedName name="an.baja">'[10]Harsat-2009'!#REF!</definedName>
    <definedName name="an.bata">'[3]Harsat-2009'!#REF!</definedName>
    <definedName name="an.batako">'[3]Harsat-2009'!#REF!</definedName>
    <definedName name="an.bekis">'[10]Harsat-2009'!#REF!</definedName>
    <definedName name="an.besi">'[3]Harsat-2009'!#REF!</definedName>
    <definedName name="an.bow">#REF!</definedName>
    <definedName name="an.catkayu">'[10]Harsat-2009'!#REF!</definedName>
    <definedName name="an.cattemb">'[10]Harsat-2009'!#REF!</definedName>
    <definedName name="an.cyc">'[10]Harsat-2009'!#REF!</definedName>
    <definedName name="an.engsel">'[10]Harsat-2009'!#REF!</definedName>
    <definedName name="an.fold">'[10]Harsat Pintu'!#REF!</definedName>
    <definedName name="an.gal">#REF!</definedName>
    <definedName name="an.genteng">'[10]Harsat-2009'!#REF!</definedName>
    <definedName name="an.glsblk">'[10]Harsat-2009'!#REF!</definedName>
    <definedName name="an.grendel">'[10]Harsat-2009'!#REF!</definedName>
    <definedName name="an.hard">'[10]Harsat-2009'!#REF!</definedName>
    <definedName name="an.j1">'[10]Harsat Pintu'!#REF!</definedName>
    <definedName name="an.jendela">'[10]Harsat-2009'!#REF!</definedName>
    <definedName name="an.K175">'[10]Harsat-2009'!#REF!</definedName>
    <definedName name="an.K225">'[10]Harsat-2009'!#REF!</definedName>
    <definedName name="an.K225mix">'[10]Harsat-2009'!#REF!</definedName>
    <definedName name="an.K250">'[10]Harsat-2009'!#REF!</definedName>
    <definedName name="an.kaca10">'[10]Harsat-2009'!#REF!</definedName>
    <definedName name="an.kait">'[10]Harsat-2009'!#REF!</definedName>
    <definedName name="an.kali">'[11]Harsat-2009'!$O$57</definedName>
    <definedName name="an.kans">'[10]Harsat-2009'!#REF!</definedName>
    <definedName name="an.kosong">'[10]Harsat-2009'!#REF!</definedName>
    <definedName name="an.krepyak">'[10]Harsat-2009'!#REF!</definedName>
    <definedName name="an.kuda">'[10]Harsat-2009'!#REF!</definedName>
    <definedName name="an.kuncikm">'[10]Harsat-2009'!#REF!</definedName>
    <definedName name="an.kuncip">'[10]Harsat-2009'!#REF!</definedName>
    <definedName name="an.kusen">'[10]Harsat-2009'!#REF!</definedName>
    <definedName name="an.lisplank">'[10]Harsat-2009'!#REF!</definedName>
    <definedName name="an.mikdin">'[10]Harsat-2009'!#REF!</definedName>
    <definedName name="an.miklan">'[10]Harsat-2009'!#REF!</definedName>
    <definedName name="an.miklan_20x20">'[10]Harsat-2009'!#REF!</definedName>
    <definedName name="an.miklan_20x25">'[10]Harsat-2009'!#REF!</definedName>
    <definedName name="an.miklan_60x60">'[10]Harsat-2009'!#REF!</definedName>
    <definedName name="an.miklan20">'[10]Harsat-2009'!#REF!</definedName>
    <definedName name="an.nok">'[10]Harsat-2009'!#REF!</definedName>
    <definedName name="an.p_80">'[10]Harsat Pintu'!#REF!</definedName>
    <definedName name="an.p3">'[10]Harsat Pintu'!#REF!</definedName>
    <definedName name="an.pa2040">'[10]Harsat-2009'!#REF!</definedName>
    <definedName name="an.panel">'[12]Harga Satuan'!$K$118</definedName>
    <definedName name="an.panil">'[10]Harsat-2009'!#REF!</definedName>
    <definedName name="an.pav">'[10]Harsat-2009'!#REF!</definedName>
    <definedName name="an.pdt2x">#REF!</definedName>
    <definedName name="an.pintu_temper">'[10]Harsat-2009'!#REF!</definedName>
    <definedName name="an.pj1">'[10]Harsat Pintu'!#REF!</definedName>
    <definedName name="an.plafon">'[10]Harsat-2009'!#REF!</definedName>
    <definedName name="an.plester">'[3]Harsat-2009'!#REF!</definedName>
    <definedName name="an.plin">'[10]Harsat-2009'!#REF!</definedName>
    <definedName name="an.plitur">'[10]Harsat-2009'!#REF!</definedName>
    <definedName name="an.plywood">'[10]Harsat-2009'!#REF!</definedName>
    <definedName name="an.po1">'[10]Harsat-2009'!#REF!</definedName>
    <definedName name="an.po2">'[10]Harsat-2009'!#REF!</definedName>
    <definedName name="an.po3">'[10]Harsat-2009'!#REF!</definedName>
    <definedName name="an.poldor">'[10]Harsat Pintu'!#REF!</definedName>
    <definedName name="an.proof">'[10]Harsat-2009'!#REF!</definedName>
    <definedName name="an.proofcoat">'[10]Harsat-2009'!#REF!</definedName>
    <definedName name="an.ps1">'[10]Harsat Pintu'!#REF!</definedName>
    <definedName name="an.ps2">'[10]Harsat Pintu'!#REF!</definedName>
    <definedName name="an.pvc">'[10]Harsat-2009'!#REF!</definedName>
    <definedName name="an.rabat">#REF!</definedName>
    <definedName name="an.reng">'[10]Harsat-2009'!#REF!</definedName>
    <definedName name="an.rost">'[10]Harsat-2009'!#REF!</definedName>
    <definedName name="an.sloop_praktis">#REF!</definedName>
    <definedName name="an.spandex">'[10]Harsat-2009'!#REF!</definedName>
    <definedName name="an.tali_a">'[10]Harsat-2009'!#REF!</definedName>
    <definedName name="an.tiang">'[12]Harga Satuan'!$K$112</definedName>
    <definedName name="an.tpan">'[10]Harsat-2009'!#REF!</definedName>
    <definedName name="an.urugbali">#REF!</definedName>
    <definedName name="an.urugp">#REF!</definedName>
    <definedName name="an.urugt">#REF!</definedName>
    <definedName name="an.usuk">'[10]Harsat-2009'!#REF!</definedName>
    <definedName name="an_aci">#REF!</definedName>
    <definedName name="an_bata">#REF!</definedName>
    <definedName name="an_bataco">#REF!</definedName>
    <definedName name="an_batu_kali">#REF!</definedName>
    <definedName name="an_batu_kosong">#REF!</definedName>
    <definedName name="an_plaster">#REF!</definedName>
    <definedName name="an_taliair">#REF!</definedName>
    <definedName name="analisas">#REF!</definedName>
    <definedName name="angkor">#REF!</definedName>
    <definedName name="APK">'[9]bahan '!$B$167</definedName>
    <definedName name="aq">'[13]DAF-1'!#REF!</definedName>
    <definedName name="arde">#REF!</definedName>
    <definedName name="as">'[14]DAF-1'!#REF!</definedName>
    <definedName name="asa">#REF!</definedName>
    <definedName name="asbes">'[3]Harga Material'!$G$96</definedName>
    <definedName name="asbes_1">[8]HB!#REF!</definedName>
    <definedName name="Asdat">'[15]HB '!#REF!</definedName>
    <definedName name="Asdat_1">[8]HB!#REF!</definedName>
    <definedName name="asgel5">#REF!</definedName>
    <definedName name="asgel5mm">'[15]HB '!#REF!</definedName>
    <definedName name="asgel5mm_1">[8]HB!#REF!</definedName>
    <definedName name="asgel6">#REF!</definedName>
    <definedName name="asgel6mm">'[7]HB '!$F$9</definedName>
    <definedName name="asgel6mm_1">[8]HB!#REF!</definedName>
    <definedName name="aspal">'[3]Harga Material'!#REF!</definedName>
    <definedName name="aswung4mm">'[7]HB '!$F$10</definedName>
    <definedName name="aswung4mm_1">[8]HB!#REF!</definedName>
    <definedName name="aswung5mm">'[15]HB '!#REF!</definedName>
    <definedName name="aswung5mm_1">[8]HB!#REF!</definedName>
    <definedName name="ATAP">#REF!</definedName>
    <definedName name="ATC">'[9]bahan '!$B$162</definedName>
    <definedName name="ATK">'[9]bahan '!$B$160</definedName>
    <definedName name="avaur">#REF!</definedName>
    <definedName name="avaur_1">[8]HB!#REF!</definedName>
    <definedName name="aw">#REF!</definedName>
    <definedName name="b">#REF!</definedName>
    <definedName name="B_1">#REF!</definedName>
    <definedName name="b_ringan">'[3]Harga Material'!$G$98</definedName>
    <definedName name="BAGIAN_1">'[16]Daf 1'!$K$423</definedName>
    <definedName name="BAHAN">#REF!</definedName>
    <definedName name="baja">#REF!</definedName>
    <definedName name="bakmandi">'[7]HB '!$F$160</definedName>
    <definedName name="bakmandi_1">[8]HB!#REF!</definedName>
    <definedName name="baktraso">#REF!</definedName>
    <definedName name="base">#REF!</definedName>
    <definedName name="bata">#REF!</definedName>
    <definedName name="bata_1">[8]HB!#REF!</definedName>
    <definedName name="batako">'[3]Harga Material'!$G$19</definedName>
    <definedName name="BATU">#REF!</definedName>
    <definedName name="batukal">#REF!</definedName>
    <definedName name="batukali">'[12]Harga Material'!$G$14</definedName>
    <definedName name="batukar">'[3]Harga Material'!#REF!</definedName>
    <definedName name="bautasb">#REF!</definedName>
    <definedName name="bautbgl">#REF!</definedName>
    <definedName name="BAX">#REF!</definedName>
    <definedName name="BBX">#REF!</definedName>
    <definedName name="BCX">#REF!</definedName>
    <definedName name="bdia6">#REF!</definedName>
    <definedName name="bekisting">#REF!</definedName>
    <definedName name="bendrat">#REF!</definedName>
    <definedName name="bendrat_1">[8]HB!#REF!</definedName>
    <definedName name="besi">#REF!</definedName>
    <definedName name="besi_L">#REF!</definedName>
    <definedName name="besibeton">[17]ANALISA!#REF!</definedName>
    <definedName name="betagum">#REF!</definedName>
    <definedName name="BETON">#REF!</definedName>
    <definedName name="beton123">[17]ANALISA!#REF!</definedName>
    <definedName name="betonmix">'[3]Harga Material'!$G$24</definedName>
    <definedName name="bgkrbekisting">[17]ANALISA!#REF!</definedName>
    <definedName name="bgst_balok">#REF!</definedName>
    <definedName name="bgst_kolom">#REF!</definedName>
    <definedName name="bgst_kolom_praktis">#REF!</definedName>
    <definedName name="bgst_plat_lt">#REF!</definedName>
    <definedName name="bgst_slof">#REF!</definedName>
    <definedName name="BJ">#REF!</definedName>
    <definedName name="bnbh">[18]BAHAN!#REF!</definedName>
    <definedName name="BQ">#REF!</definedName>
    <definedName name="bqcor">#REF!</definedName>
    <definedName name="brc">#REF!</definedName>
    <definedName name="BS">#REF!</definedName>
    <definedName name="bs100med">#REF!</definedName>
    <definedName name="bs15med">#REF!</definedName>
    <definedName name="bs20med">#REF!</definedName>
    <definedName name="bs25med">#REF!</definedName>
    <definedName name="bs32med">#REF!</definedName>
    <definedName name="bs40med">#REF!</definedName>
    <definedName name="bs50med">#REF!</definedName>
    <definedName name="bs65med">#REF!</definedName>
    <definedName name="bs75med">#REF!</definedName>
    <definedName name="bsbtn">#REF!</definedName>
    <definedName name="bsbtn_1">[8]HB!#REF!</definedName>
    <definedName name="bsbtn10">#REF!</definedName>
    <definedName name="bsbtn12">#REF!</definedName>
    <definedName name="bsbtn13">#REF!</definedName>
    <definedName name="bsbtn16">#REF!</definedName>
    <definedName name="bsbtn19">#REF!</definedName>
    <definedName name="bsbtn22">#REF!</definedName>
    <definedName name="bsc">#REF!</definedName>
    <definedName name="bsplat">#REF!</definedName>
    <definedName name="bssiku">#REF!</definedName>
    <definedName name="bswf">#REF!</definedName>
    <definedName name="bswf150">#REF!</definedName>
    <definedName name="btblh">#REF!</definedName>
    <definedName name="btblh_1">[8]HB!#REF!</definedName>
    <definedName name="btgebal">#REF!</definedName>
    <definedName name="btkali">#REF!</definedName>
    <definedName name="btnremik">[19]ANALISA!#REF!</definedName>
    <definedName name="bubung">#REF!</definedName>
    <definedName name="bubung_1">[8]HB!#REF!</definedName>
    <definedName name="bubungbtn">#REF!</definedName>
    <definedName name="buis50">'[12]Harga Material'!$G$9</definedName>
    <definedName name="buis60">'[3]Harga Material'!$G$23</definedName>
    <definedName name="buiso100">#REF!</definedName>
    <definedName name="buiso20">#REF!</definedName>
    <definedName name="buiso40">#REF!</definedName>
    <definedName name="buiso50">#REF!</definedName>
    <definedName name="buiso80">#REF!</definedName>
    <definedName name="buisu20">#REF!</definedName>
    <definedName name="buisu30">#REF!</definedName>
    <definedName name="buisu60">#REF!</definedName>
    <definedName name="Bust">#N/A</definedName>
    <definedName name="C_1">#REF!</definedName>
    <definedName name="C_2">#REF!</definedName>
    <definedName name="cals_4_mm">#REF!</definedName>
    <definedName name="canal150">#REF!</definedName>
    <definedName name="canal150_1">[8]HB!#REF!</definedName>
    <definedName name="casf80">#REF!</definedName>
    <definedName name="catbesi">#REF!</definedName>
    <definedName name="catdul_alkili">'[3]Harga Material'!$G$70</definedName>
    <definedName name="catdul_alkili_L">'[3]Harga Material'!$G$71</definedName>
    <definedName name="catdul_P">'[3]Harga Material'!$G$68</definedName>
    <definedName name="catdul_W">'[3]Harga Material'!$G$69</definedName>
    <definedName name="catgenteng">#REF!</definedName>
    <definedName name="catkayu">#REF!</definedName>
    <definedName name="catmeni">#REF!</definedName>
    <definedName name="cattbk">#REF!</definedName>
    <definedName name="cattemb">'[3]Harga Material'!#REF!</definedName>
    <definedName name="cc">#REF!</definedName>
    <definedName name="cemara">'[7]HB '!$F$184</definedName>
    <definedName name="cemara_1">[8]HB!#REF!</definedName>
    <definedName name="cenposalm">#REF!</definedName>
    <definedName name="cenposstel">#REF!</definedName>
    <definedName name="cmas18">#REF!</definedName>
    <definedName name="cmas20">#REF!</definedName>
    <definedName name="cmas25">#REF!</definedName>
    <definedName name="cmas58">#REF!</definedName>
    <definedName name="CNP_10">'[10]Harga Material'!$G$52</definedName>
    <definedName name="CNP_12.5">#REF!</definedName>
    <definedName name="CNP_15">'[10]Harga Material'!$G$54</definedName>
    <definedName name="compon">#REF!</definedName>
    <definedName name="Continue">#N/A</definedName>
    <definedName name="cor">#REF!</definedName>
    <definedName name="cupper">#REF!</definedName>
    <definedName name="D">#REF!</definedName>
    <definedName name="D_1">#REF!</definedName>
    <definedName name="dasarcat">'[3]Harga Material'!#REF!</definedName>
    <definedName name="DAX">#REF!</definedName>
    <definedName name="DBX">#REF!</definedName>
    <definedName name="DCX">#REF!</definedName>
    <definedName name="DDX">#REF!</definedName>
    <definedName name="dede">#REF!</definedName>
    <definedName name="dempul">#REF!</definedName>
    <definedName name="dempul_1">[8]HB!#REF!</definedName>
    <definedName name="detib2100">#REF!</definedName>
    <definedName name="detib2120">#REF!</definedName>
    <definedName name="detib250">#REF!</definedName>
    <definedName name="detib260">#REF!</definedName>
    <definedName name="detib280">#REF!</definedName>
    <definedName name="deved">#REF!</definedName>
    <definedName name="dindingpre">'[12]Harga Material'!$G$28</definedName>
    <definedName name="DLL">#REF!</definedName>
    <definedName name="dnpntalm">#REF!</definedName>
    <definedName name="Document_array" localSheetId="1">{"Book1","RAB PASAR 30 AUG SCRAB.xls"}</definedName>
    <definedName name="Document_array">{"Book1","RAB PASAR 30 AUG SCRAB.xls"}</definedName>
    <definedName name="Documents_array">#N/A</definedName>
    <definedName name="dolken">'[15]HB '!#REF!</definedName>
    <definedName name="dolken_1">[8]HB!#REF!</definedName>
    <definedName name="Drain">#REF!</definedName>
    <definedName name="drilb2100">#REF!</definedName>
    <definedName name="drilb2120">#REF!</definedName>
    <definedName name="drilb250">#REF!</definedName>
    <definedName name="drilb260">#REF!</definedName>
    <definedName name="drilb280">#REF!</definedName>
    <definedName name="drildl3a100">#REF!</definedName>
    <definedName name="drildl3a120">#REF!</definedName>
    <definedName name="drildl3a50">#REF!</definedName>
    <definedName name="drildl3a60">#REF!</definedName>
    <definedName name="drildl3a80">#REF!</definedName>
    <definedName name="drill1100">#REF!</definedName>
    <definedName name="drill1120">#REF!</definedName>
    <definedName name="drill150">#REF!</definedName>
    <definedName name="drill160">#REF!</definedName>
    <definedName name="drill180">#REF!</definedName>
    <definedName name="drill3100">#REF!</definedName>
    <definedName name="drill3120">#REF!</definedName>
    <definedName name="drill350">#REF!</definedName>
    <definedName name="drill360">#REF!</definedName>
    <definedName name="drill380">#REF!</definedName>
    <definedName name="drill5100">#REF!</definedName>
    <definedName name="drill5120">#REF!</definedName>
    <definedName name="drill550">#REF!</definedName>
    <definedName name="drill560">#REF!</definedName>
    <definedName name="drill580">#REF!</definedName>
    <definedName name="drill5a100">#REF!</definedName>
    <definedName name="drill5a120">#REF!</definedName>
    <definedName name="drill5a50">#REF!</definedName>
    <definedName name="drill5a60">#REF!</definedName>
    <definedName name="drill5a80">#REF!</definedName>
    <definedName name="drill6a100">#REF!</definedName>
    <definedName name="drill6a120">#REF!</definedName>
    <definedName name="drill6a50">#REF!</definedName>
    <definedName name="drill6a60">#REF!</definedName>
    <definedName name="drill6a80">#REF!</definedName>
    <definedName name="drillug100">#REF!</definedName>
    <definedName name="drillug120">#REF!</definedName>
    <definedName name="drillug50">#REF!</definedName>
    <definedName name="drillug60">#REF!</definedName>
    <definedName name="drillug80">#REF!</definedName>
    <definedName name="dsilb2100">#REF!</definedName>
    <definedName name="dsilb2120">#REF!</definedName>
    <definedName name="dsilb250">#REF!</definedName>
    <definedName name="dsilb260">#REF!</definedName>
    <definedName name="dsilb280">#REF!</definedName>
    <definedName name="dsildb2100">#REF!</definedName>
    <definedName name="dsildb2120">#REF!</definedName>
    <definedName name="dsildb250">#REF!</definedName>
    <definedName name="dsildb260">#REF!</definedName>
    <definedName name="dsildb280">#REF!</definedName>
    <definedName name="dsildl1100">#REF!</definedName>
    <definedName name="dsildl1120">#REF!</definedName>
    <definedName name="dsildl150">#REF!</definedName>
    <definedName name="dsildl160">#REF!</definedName>
    <definedName name="dsildl180">#REF!</definedName>
    <definedName name="dsildl3100">#REF!</definedName>
    <definedName name="dsildl3120">#REF!</definedName>
    <definedName name="dsildl350">#REF!</definedName>
    <definedName name="dsildl360">#REF!</definedName>
    <definedName name="dsildl380">#REF!</definedName>
    <definedName name="dsildl3a100">#REF!</definedName>
    <definedName name="dsildl3a120">#REF!</definedName>
    <definedName name="dsildl3a50">#REF!</definedName>
    <definedName name="dsildl3a60">#REF!</definedName>
    <definedName name="dsildl3a80">#REF!</definedName>
    <definedName name="dsildl5100">#REF!</definedName>
    <definedName name="dsildl5120">#REF!</definedName>
    <definedName name="dsildl550">#REF!</definedName>
    <definedName name="dsildl560">#REF!</definedName>
    <definedName name="dsildl580">#REF!</definedName>
    <definedName name="dsildl5a100">#REF!</definedName>
    <definedName name="dsildl5a120">#REF!</definedName>
    <definedName name="dsildl5a50">#REF!</definedName>
    <definedName name="dsildl5a60">#REF!</definedName>
    <definedName name="dsildl5a80">#REF!</definedName>
    <definedName name="dsildl6a100">#REF!</definedName>
    <definedName name="dsildl6a120">#REF!</definedName>
    <definedName name="dsildl6a50">#REF!</definedName>
    <definedName name="dsildl6a60">#REF!</definedName>
    <definedName name="dsildl6a80">#REF!</definedName>
    <definedName name="dsildlug100">#REF!</definedName>
    <definedName name="dsildlug120">#REF!</definedName>
    <definedName name="dsildlug50">#REF!</definedName>
    <definedName name="dsildlug60">#REF!</definedName>
    <definedName name="dsildlug80">#REF!</definedName>
    <definedName name="dsill1100">#REF!</definedName>
    <definedName name="dsill1120">#REF!</definedName>
    <definedName name="dsill150">#REF!</definedName>
    <definedName name="dsill160">#REF!</definedName>
    <definedName name="dsill180">#REF!</definedName>
    <definedName name="dsill3100">#REF!</definedName>
    <definedName name="dsill3120">#REF!</definedName>
    <definedName name="dsill350">#REF!</definedName>
    <definedName name="dsill360">#REF!</definedName>
    <definedName name="dsill380">#REF!</definedName>
    <definedName name="dsill3a100">#REF!</definedName>
    <definedName name="dsill3a120">#REF!</definedName>
    <definedName name="dsill3a50">#REF!</definedName>
    <definedName name="dsill3a60">#REF!</definedName>
    <definedName name="dsill3a80">#REF!</definedName>
    <definedName name="dsill5100">#REF!</definedName>
    <definedName name="dsill5120">#REF!</definedName>
    <definedName name="dsill550">#REF!</definedName>
    <definedName name="dsill560">#REF!</definedName>
    <definedName name="dsill580">#REF!</definedName>
    <definedName name="dsill5a100">#REF!</definedName>
    <definedName name="dsill5a120">#REF!</definedName>
    <definedName name="dsill5a50">#REF!</definedName>
    <definedName name="dsill5a60">#REF!</definedName>
    <definedName name="dsill5a80">#REF!</definedName>
    <definedName name="dsill6a100">#REF!</definedName>
    <definedName name="dsill6a120">#REF!</definedName>
    <definedName name="dsill6a50">#REF!</definedName>
    <definedName name="dsill6a60">#REF!</definedName>
    <definedName name="dsill6a80">#REF!</definedName>
    <definedName name="dsillug100">#REF!</definedName>
    <definedName name="dsillug120">#REF!</definedName>
    <definedName name="dsillug50">#REF!</definedName>
    <definedName name="dsillug60">#REF!</definedName>
    <definedName name="dsillug80">#REF!</definedName>
    <definedName name="dstib2100">#REF!</definedName>
    <definedName name="dstib2120">#REF!</definedName>
    <definedName name="dstib250">#REF!</definedName>
    <definedName name="dstib260">#REF!</definedName>
    <definedName name="dstib280">#REF!</definedName>
    <definedName name="E">#REF!</definedName>
    <definedName name="E_1">#REF!</definedName>
    <definedName name="EEX">#REF!</definedName>
    <definedName name="EFX">#REF!</definedName>
    <definedName name="EGX">#REF!</definedName>
    <definedName name="EHX">#REF!</definedName>
    <definedName name="EJX">#REF!</definedName>
    <definedName name="EKX">#REF!</definedName>
    <definedName name="elek">#REF!</definedName>
    <definedName name="ELX">#REF!</definedName>
    <definedName name="engjen">#REF!</definedName>
    <definedName name="engpin">#REF!</definedName>
    <definedName name="engsel">#REF!</definedName>
    <definedName name="engselh">'[7]HB '!$F$176</definedName>
    <definedName name="engselh_1">[8]HB!#REF!</definedName>
    <definedName name="engselkun">'[4]HB '!$F$177</definedName>
    <definedName name="engselkun_1">[8]HB!#REF!</definedName>
    <definedName name="espyl">#REF!</definedName>
    <definedName name="eternit">#REF!</definedName>
    <definedName name="eternit_1">[8]HB!#REF!</definedName>
    <definedName name="Excel_BuiltIn_Print_Area_10">#REF!</definedName>
    <definedName name="Excel_BuiltIn_Print_Area_10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8">#REF!</definedName>
    <definedName name="Excel_BuiltIn_Print_Area_9">#REF!</definedName>
    <definedName name="EXTRA">#REF!</definedName>
    <definedName name="fall" localSheetId="0" hidden="1">#REF!</definedName>
    <definedName name="fall" hidden="1">#REF!</definedName>
    <definedName name="fd" localSheetId="0" hidden="1">#REF!</definedName>
    <definedName name="fd" hidden="1">#REF!</definedName>
    <definedName name="feco25">#REF!</definedName>
    <definedName name="fedc2">#REF!</definedName>
    <definedName name="fedc35">#REF!</definedName>
    <definedName name="FEX">#REF!</definedName>
    <definedName name="ff" localSheetId="0" hidden="1">#REF!</definedName>
    <definedName name="ff" hidden="1">#REF!</definedName>
    <definedName name="FFX">#REF!</definedName>
    <definedName name="FGX">#REF!</definedName>
    <definedName name="FHX">#REF!</definedName>
    <definedName name="fiber">#REF!</definedName>
    <definedName name="fill" localSheetId="0" hidden="1">#REF!</definedName>
    <definedName name="fill" hidden="1">#REF!</definedName>
    <definedName name="fin_mel">'[10]Harga Material'!$G$176</definedName>
    <definedName name="fin_pol">#REF!</definedName>
    <definedName name="fin_Tekst">#REF!</definedName>
    <definedName name="fin_UPL">#REF!</definedName>
    <definedName name="firkan">#REF!</definedName>
    <definedName name="FIRST_FLOOR">#REF!</definedName>
    <definedName name="FJX">#REF!</definedName>
    <definedName name="fkx">#REF!</definedName>
    <definedName name="Flap_jack">#REF!</definedName>
    <definedName name="flx">#REF!</definedName>
    <definedName name="fold">#REF!</definedName>
    <definedName name="fsvd100">#REF!</definedName>
    <definedName name="fsvd150">#REF!</definedName>
    <definedName name="fsvd65">#REF!</definedName>
    <definedName name="FURNITURE__FURNISHING">#REF!</definedName>
    <definedName name="G224.">'[20]Analis Kusen 1 ESKALASI'!#REF!</definedName>
    <definedName name="galv25">#REF!</definedName>
    <definedName name="galv4">#REF!</definedName>
    <definedName name="galvanis3">#REF!</definedName>
    <definedName name="galvanis3_1">[8]HB!#REF!</definedName>
    <definedName name="gblock">'[3]Harga Material'!$G$95</definedName>
    <definedName name="gembok">'[7]HB '!$F$172</definedName>
    <definedName name="gembok_1">[8]HB!#REF!</definedName>
    <definedName name="genteng">#REF!</definedName>
    <definedName name="genteng_1">[8]HB!#REF!</definedName>
    <definedName name="gentengbtn">'[15]HB '!#REF!</definedName>
    <definedName name="gentengbtn_1">[8]HB!#REF!</definedName>
    <definedName name="gentenggs">#REF!</definedName>
    <definedName name="GFMHG">'[21]HB '!#REF!</definedName>
    <definedName name="gip100med">#REF!</definedName>
    <definedName name="gip15med">#REF!</definedName>
    <definedName name="gip20med">#REF!</definedName>
    <definedName name="gip25med">#REF!</definedName>
    <definedName name="gip32med">#REF!</definedName>
    <definedName name="gip40med">#REF!</definedName>
    <definedName name="gip50med">#REF!</definedName>
    <definedName name="gip65med">#REF!</definedName>
    <definedName name="gip75med">#REF!</definedName>
    <definedName name="gorbos">#REF!</definedName>
    <definedName name="govpd15">#REF!</definedName>
    <definedName name="GRAND_PALEMBANG_HOTEL___PALEMBANG">#REF!</definedName>
    <definedName name="grass">#REF!</definedName>
    <definedName name="grass2020">'[15]HB '!#REF!</definedName>
    <definedName name="grass2020_1">[8]HB!#REF!</definedName>
    <definedName name="grc">#REF!</definedName>
    <definedName name="grendalfa">'[15]HB '!#REF!</definedName>
    <definedName name="grendalfa_1">[8]HB!#REF!</definedName>
    <definedName name="grendbiasa">'[4]HB '!$F$178</definedName>
    <definedName name="grendbiasa_1">[8]HB!#REF!</definedName>
    <definedName name="grendel">#REF!</definedName>
    <definedName name="GROUND_FLOOR">#REF!</definedName>
    <definedName name="Grount_tank">#REF!</definedName>
    <definedName name="gsekring">#REF!</definedName>
    <definedName name="gunting">'[3]Harga Material'!$G$158</definedName>
    <definedName name="gypsum">#REF!</definedName>
    <definedName name="gypsum_1">[8]HB!#REF!</definedName>
    <definedName name="HABE">#REF!</definedName>
    <definedName name="hAGApINTU">'[22]Daf 1'!$K$423</definedName>
    <definedName name="hakangin">#REF!</definedName>
    <definedName name="hakangin_1">[8]HB!#REF!</definedName>
    <definedName name="handle">'[7]HB '!$F$175</definedName>
    <definedName name="handle_1">[8]HB!#REF!</definedName>
    <definedName name="hard">'[3]Harga Material'!$G$16</definedName>
    <definedName name="harmonika">'[4]HB '!$F$68</definedName>
    <definedName name="harmonika_1">[8]HB!#REF!</definedName>
    <definedName name="hb">#REF!</definedName>
    <definedName name="hdljend">#REF!</definedName>
    <definedName name="hdw">#REF!</definedName>
    <definedName name="Hello">#N/A</definedName>
    <definedName name="hil">#REF!</definedName>
    <definedName name="hj">#REF!</definedName>
    <definedName name="hol2x4">#REF!</definedName>
    <definedName name="hol4x4">#REF!</definedName>
    <definedName name="hspt">#REF!</definedName>
    <definedName name="hsut">#REF!</definedName>
    <definedName name="hswt">#REF!</definedName>
    <definedName name="htl1e30">#REF!</definedName>
    <definedName name="htl2e30">#REF!</definedName>
    <definedName name="htl3e30">#REF!</definedName>
    <definedName name="hu">#REF!</definedName>
    <definedName name="ihb">#REF!</definedName>
    <definedName name="ihbl">#REF!</definedName>
    <definedName name="ijuk">#REF!</definedName>
    <definedName name="ijuk_1">[8]HB!#REF!</definedName>
    <definedName name="j">#REF!</definedName>
    <definedName name="jaga">'[15]HB '!#REF!</definedName>
    <definedName name="jaga_1">[8]HB!#REF!</definedName>
    <definedName name="JASA">#REF!</definedName>
    <definedName name="jatiblk">#REF!</definedName>
    <definedName name="jatippn">#REF!</definedName>
    <definedName name="JEFTA">#REF!</definedName>
    <definedName name="JJ">'[23]DAF-1'!#REF!</definedName>
    <definedName name="join">#REF!</definedName>
    <definedName name="K">#REF!</definedName>
    <definedName name="k_250">#REF!</definedName>
    <definedName name="kaca10">'[3]Harga Material'!#REF!</definedName>
    <definedName name="kaca10tp">'[3]Harga Material'!#REF!</definedName>
    <definedName name="kaca5">'[3]Harga Material'!#REF!</definedName>
    <definedName name="kaca8">'[3]Harga Material'!#REF!</definedName>
    <definedName name="kain_comp">#REF!</definedName>
    <definedName name="kait">#REF!</definedName>
    <definedName name="kansteen">'[4]HB '!$F$56</definedName>
    <definedName name="kansteen_1">[8]HB!#REF!</definedName>
    <definedName name="kanstein">#REF!</definedName>
    <definedName name="kanstin">#REF!</definedName>
    <definedName name="kapur">#REF!</definedName>
    <definedName name="kasa">#REF!</definedName>
    <definedName name="kasa_1">[8]HB!#REF!</definedName>
    <definedName name="KASBUN" localSheetId="1">{"Book1","RAB PASAR 30 AUG SCRAB.xls"}</definedName>
    <definedName name="KASBUN">{"Book1","RAB PASAR 30 AUG SCRAB.xls"}</definedName>
    <definedName name="kawat">'[3]Harga Material'!$G$58</definedName>
    <definedName name="kayubeng">'[10]Harga Material'!$G$34</definedName>
    <definedName name="kayukam">'[3]Harga Material'!$G$29</definedName>
    <definedName name="kayukru">#REF!</definedName>
    <definedName name="kayumer">'[3]Harga Material'!$G$32</definedName>
    <definedName name="kayumerbau">#REF!</definedName>
    <definedName name="kblnym">#REF!</definedName>
    <definedName name="kccermin3">#REF!</definedName>
    <definedName name="kcpolos3">#REF!</definedName>
    <definedName name="kcpolos5">#REF!</definedName>
    <definedName name="kd">#REF!</definedName>
    <definedName name="ken">#REF!</definedName>
    <definedName name="keptkbatu">'[7]HB '!$F$199</definedName>
    <definedName name="keptkbatu_1">[8]HB!#REF!</definedName>
    <definedName name="keptkbesi">'[7]HB '!$F$200</definedName>
    <definedName name="keptkbesi_1">[8]HB!#REF!</definedName>
    <definedName name="keptkkayu">'[4]HB '!$F$198</definedName>
    <definedName name="keptkkayu_1">[8]HB!#REF!</definedName>
    <definedName name="ker2020_1">[8]HB!#REF!</definedName>
    <definedName name="ker2025_1">[8]HB!#REF!</definedName>
    <definedName name="ker3030_1">[8]HB!#REF!</definedName>
    <definedName name="ker3030es">#REF!</definedName>
    <definedName name="ker40_1">[8]HB!#REF!</definedName>
    <definedName name="kertile">'[15]HB '!#REF!</definedName>
    <definedName name="kertile_1">[8]HB!#REF!</definedName>
    <definedName name="kloset">'[4]HB '!$F$156</definedName>
    <definedName name="kloset_1">[8]HB!#REF!</definedName>
    <definedName name="klosjong">#REF!</definedName>
    <definedName name="knee">#REF!</definedName>
    <definedName name="knee_1">[8]HB!#REF!</definedName>
    <definedName name="ko">[24]HB!#REF!</definedName>
    <definedName name="KODE">#REF!</definedName>
    <definedName name="KOEF">[25]Analisa!$L$10</definedName>
    <definedName name="koef1">#REF!</definedName>
    <definedName name="koeflingg">#REF!</definedName>
    <definedName name="koeflingk">#REF!</definedName>
    <definedName name="kof">#REF!</definedName>
    <definedName name="KOL">[26]Bahan!$K$7</definedName>
    <definedName name="koling">#REF!</definedName>
    <definedName name="kolompre">'[12]Harga Material'!$G$27</definedName>
    <definedName name="kolter">#REF!</definedName>
    <definedName name="KOM">[26]HB!$H$5</definedName>
    <definedName name="kome">'[27]RAB ME'!$L$13</definedName>
    <definedName name="konstbaja">#REF!</definedName>
    <definedName name="KOP">#REF!</definedName>
    <definedName name="koral">#REF!</definedName>
    <definedName name="koral15">#REF!</definedName>
    <definedName name="koralpie">'[3]Harga Material'!#REF!</definedName>
    <definedName name="kprblk">#REF!</definedName>
    <definedName name="kprblk_1">[8]HB!#REF!</definedName>
    <definedName name="kprppn">#REF!</definedName>
    <definedName name="kprreng">#REF!</definedName>
    <definedName name="kprusuk">#REF!</definedName>
    <definedName name="kran">'[4]HB '!$F$157</definedName>
    <definedName name="kran_1">[8]HB!#REF!</definedName>
    <definedName name="kranshow">#REF!</definedName>
    <definedName name="kranwas">#REF!</definedName>
    <definedName name="kruing">#REF!</definedName>
    <definedName name="KT">#REF!</definedName>
    <definedName name="kuas">#REF!</definedName>
    <definedName name="kunci">#REF!</definedName>
    <definedName name="kunci_1">[8]HB!#REF!</definedName>
    <definedName name="kuncipin">#REF!</definedName>
    <definedName name="kuncipnt">#REF!</definedName>
    <definedName name="kunciwc">'[3]Harga Material'!#REF!</definedName>
    <definedName name="kunctoil">#REF!</definedName>
    <definedName name="KURUG">#REF!</definedName>
    <definedName name="KUSEN__PINTU__JENDELA__ALAT_ALAT_PENGGANTUNG_DAN_CURTAIN_WALL">#REF!</definedName>
    <definedName name="kusenbeng">#REF!</definedName>
    <definedName name="kwas">#REF!</definedName>
    <definedName name="ky">#REF!</definedName>
    <definedName name="kygelam">#REF!</definedName>
    <definedName name="l">'[13]DAF-1'!#REF!</definedName>
    <definedName name="LANTAI_P3">#REF!</definedName>
    <definedName name="lbowpvc4">#REF!</definedName>
    <definedName name="lem">#REF!</definedName>
    <definedName name="lem_knig">#REF!</definedName>
    <definedName name="lemfox">'[4]HB '!$F$101</definedName>
    <definedName name="lemfox_1">[8]HB!#REF!</definedName>
    <definedName name="lemkayu">#REF!</definedName>
    <definedName name="lempvc">#REF!</definedName>
    <definedName name="lime">'[3]Harga Material'!$G$9</definedName>
    <definedName name="lisgyp">#REF!</definedName>
    <definedName name="lispla">'[15]HB '!#REF!</definedName>
    <definedName name="lispla_1">[8]HB!#REF!</definedName>
    <definedName name="listgypsum">'[4]HB '!$F$13</definedName>
    <definedName name="listgypsum_1">[8]HB!#REF!</definedName>
    <definedName name="listpla">#REF!</definedName>
    <definedName name="ljjj">[28]HB!$E$78</definedName>
    <definedName name="lmp25w">'[15]HB '!#REF!</definedName>
    <definedName name="lmp25w_1">[8]HB!#REF!</definedName>
    <definedName name="LOBBY">#REF!</definedName>
    <definedName name="LS">'[29]DAF-1'!#REF!</definedName>
    <definedName name="Luas_Bangunan">#REF!</definedName>
    <definedName name="M">#REF!</definedName>
    <definedName name="mandor">'[4]HB '!$F$197</definedName>
    <definedName name="mandor_1">[8]HB!#REF!</definedName>
    <definedName name="mani">#REF!</definedName>
    <definedName name="mark_up">#REF!</definedName>
    <definedName name="MARKUP">#REF!</definedName>
    <definedName name="mat">#REF!</definedName>
    <definedName name="mdr">#REF!</definedName>
    <definedName name="ME">#REF!</definedName>
    <definedName name="mep">#REF!</definedName>
    <definedName name="meuble">#REF!</definedName>
    <definedName name="minyakcat">#REF!</definedName>
    <definedName name="mixer">'[3]Harga Material'!$G$156</definedName>
    <definedName name="mixer_1">[8]HB!#REF!</definedName>
    <definedName name="mosaic_8.5">#REF!</definedName>
    <definedName name="mt">[30]HB!$F$78</definedName>
    <definedName name="Muck_up_stdr">#REF!</definedName>
    <definedName name="multiplek12">'[4]HB '!$F$23</definedName>
    <definedName name="multiplek12_1">[8]HB!#REF!</definedName>
    <definedName name="murbaut12">#REF!</definedName>
    <definedName name="murbaut16">#REF!</definedName>
    <definedName name="murbaut19">#REF!</definedName>
    <definedName name="murbaut22">#REF!</definedName>
    <definedName name="murbautklem">#REF!</definedName>
    <definedName name="N">'[31]DAF-1'!#REF!</definedName>
    <definedName name="naco">#REF!</definedName>
    <definedName name="nako">'[7]HB '!$F$119</definedName>
    <definedName name="nako_1">[8]HB!#REF!</definedName>
    <definedName name="nn">[32]HB!#REF!</definedName>
    <definedName name="nokstel">#REF!</definedName>
    <definedName name="OPERATING_EQUIPMENT">#REF!</definedName>
    <definedName name="ot">#REF!</definedName>
    <definedName name="overtime">#REF!</definedName>
    <definedName name="p">'[33]DAF-1'!#REF!</definedName>
    <definedName name="pabf100">#REF!</definedName>
    <definedName name="pabf125">#REF!</definedName>
    <definedName name="pabf150">#REF!</definedName>
    <definedName name="pabf4">#REF!</definedName>
    <definedName name="pabf6">#REF!</definedName>
    <definedName name="pabf65">#REF!</definedName>
    <definedName name="pabf80">#REF!</definedName>
    <definedName name="pagarbrc">#REF!</definedName>
    <definedName name="PAKET">#REF!</definedName>
    <definedName name="pakf100">#REF!</definedName>
    <definedName name="pakf150">#REF!</definedName>
    <definedName name="pakf80">#REF!</definedName>
    <definedName name="paku">'[4]HB '!$F$148</definedName>
    <definedName name="paku_1">[8]HB!#REF!</definedName>
    <definedName name="paku1">#REF!</definedName>
    <definedName name="paku2">#REF!</definedName>
    <definedName name="pakuasb">#REF!</definedName>
    <definedName name="pakuasb_1">[8]HB!#REF!</definedName>
    <definedName name="palm">'[4]HB '!$F$183</definedName>
    <definedName name="palm_1">[8]HB!#REF!</definedName>
    <definedName name="pancang">#REF!</definedName>
    <definedName name="panelmcb">'[15]HB '!#REF!</definedName>
    <definedName name="panelmcb_1">[8]HB!#REF!</definedName>
    <definedName name="pas.pvc">#REF!</definedName>
    <definedName name="pascor">#REF!</definedName>
    <definedName name="pasir">'[12]Harga Material'!$G$11</definedName>
    <definedName name="paspas">'[3]Harga Material'!$G$11</definedName>
    <definedName name="pasurug">'[3]Harga Material'!$G$10</definedName>
    <definedName name="pavabu6">#REF!</definedName>
    <definedName name="pavabu8">#REF!</definedName>
    <definedName name="paving">#REF!</definedName>
    <definedName name="payung">#REF!</definedName>
    <definedName name="pb6abu">'[4]HB '!#REF!</definedName>
    <definedName name="pb6abu_1">[8]HB!#REF!</definedName>
    <definedName name="pb6abu3">'[15]HB '!#REF!</definedName>
    <definedName name="pb6abu3_1">[8]HB!#REF!</definedName>
    <definedName name="pb6merah">'[4]HB '!#REF!</definedName>
    <definedName name="pb6merah_1">[8]HB!#REF!</definedName>
    <definedName name="pb8abu">#REF!</definedName>
    <definedName name="pb8abu_1">[8]HB!#REF!</definedName>
    <definedName name="pb8merah">'[4]HB '!#REF!</definedName>
    <definedName name="pb8merah_1">[8]HB!#REF!</definedName>
    <definedName name="pbsf100">#REF!</definedName>
    <definedName name="pbsf150">#REF!</definedName>
    <definedName name="pbsf65">#REF!</definedName>
    <definedName name="pbsf80">#REF!</definedName>
    <definedName name="pc_bsw">#REF!</definedName>
    <definedName name="pc_gr">#REF!</definedName>
    <definedName name="pc_tr">#REF!</definedName>
    <definedName name="pcgr">#REF!</definedName>
    <definedName name="pcwar">'[3]Harga Material'!$G$15</definedName>
    <definedName name="PD">#REF!</definedName>
    <definedName name="PEK">#REF!</definedName>
    <definedName name="pekerja">#REF!</definedName>
    <definedName name="pekerja_1">[8]HB!#REF!</definedName>
    <definedName name="PEKERJAAN__A_C">#REF!</definedName>
    <definedName name="PEKERJAAN_CAT">#REF!</definedName>
    <definedName name="PEKERJAAN_CCTV__SOUND_SYSTEM____MATV">#REF!</definedName>
    <definedName name="PEKERJAAN_DINDING_DAN_FINISHING_DINDING">#REF!</definedName>
    <definedName name="PEKERJAAN_FINISHING_LANTAI">#REF!</definedName>
    <definedName name="PEKERJAAN_GONDOLA">#REF!</definedName>
    <definedName name="PEKERJAAN_LIFT_ex_KOREA">#REF!</definedName>
    <definedName name="PEKERJAAN_LISTRIK___GENSET">#REF!</definedName>
    <definedName name="PEKERJAAN_LUAR">#REF!</definedName>
    <definedName name="PEKERJAAN_PLAFOND">#REF!</definedName>
    <definedName name="PEKERJAAN_PLUMBING___SANITARY">#REF!</definedName>
    <definedName name="PEKERJAAN_PONDASI">#REF!</definedName>
    <definedName name="PEKERJAAN_RAILING_DAN_LAIN___LAIN">#REF!</definedName>
    <definedName name="PEKERJAAN_SPRINKLER___FIRE_FIGHTING">#REF!</definedName>
    <definedName name="PEKERJAAN_STRUKTUR_ATAS_DAN_ATAP">#REF!</definedName>
    <definedName name="PEKERJAAN_SUB_STRUKTUR">#REF!</definedName>
    <definedName name="PEKERJAAN_TANAH">#REF!</definedName>
    <definedName name="PEKERJAAN_TELEPON">#REF!</definedName>
    <definedName name="pgc">#REF!</definedName>
    <definedName name="pijar">#REF!</definedName>
    <definedName name="pipabs2">#REF!</definedName>
    <definedName name="piparel25">#REF!</definedName>
    <definedName name="PK">#REF!</definedName>
    <definedName name="pkgyp">#REF!</definedName>
    <definedName name="pklis">#REF!</definedName>
    <definedName name="pkpmp">#REF!</definedName>
    <definedName name="pkreng">'[3]Harga Material'!$G$53</definedName>
    <definedName name="pkskr">#REF!</definedName>
    <definedName name="pkusuk">'[3]Harga Material'!$G$54</definedName>
    <definedName name="plamirkayu">#REF!</definedName>
    <definedName name="plamirtbk">#REF!</definedName>
    <definedName name="plamurk">#REF!</definedName>
    <definedName name="plamurt">'[3]Harga Material'!$G$62</definedName>
    <definedName name="plastik">'[4]HB '!$F$187</definedName>
    <definedName name="plastik_1">[8]HB!#REF!</definedName>
    <definedName name="platbordes">#REF!</definedName>
    <definedName name="platbordes_1">[8]HB!#REF!</definedName>
    <definedName name="platstrip">'[4]HB '!$F$65</definedName>
    <definedName name="platstrip_1">[8]HB!#REF!</definedName>
    <definedName name="plincot">#REF!</definedName>
    <definedName name="plum">#REF!</definedName>
    <definedName name="pn10agru100">#REF!</definedName>
    <definedName name="pn10agru15">#REF!</definedName>
    <definedName name="pn10agru20">#REF!</definedName>
    <definedName name="pn10agru25">#REF!</definedName>
    <definedName name="pn10agru32">#REF!</definedName>
    <definedName name="pn10agru40">#REF!</definedName>
    <definedName name="pn10agru50">#REF!</definedName>
    <definedName name="pn10agru65">#REF!</definedName>
    <definedName name="pn10agru75">#REF!</definedName>
    <definedName name="pn10s40">#REF!</definedName>
    <definedName name="pn10sd100">#REF!</definedName>
    <definedName name="pn10sd15">#REF!</definedName>
    <definedName name="pn10sd20">#REF!</definedName>
    <definedName name="pn10sd25">#REF!</definedName>
    <definedName name="pn10sd32">#REF!</definedName>
    <definedName name="pn10sd50">#REF!</definedName>
    <definedName name="pn10sd65">#REF!</definedName>
    <definedName name="pn10sd75">#REF!</definedName>
    <definedName name="pn10wav100">#REF!</definedName>
    <definedName name="pn10wav15">#REF!</definedName>
    <definedName name="pn10wav20">#REF!</definedName>
    <definedName name="pn10wav25">#REF!</definedName>
    <definedName name="pn10wav32">#REF!</definedName>
    <definedName name="pn10wav40">#REF!</definedName>
    <definedName name="pn10wav50">#REF!</definedName>
    <definedName name="pn10wav65">#REF!</definedName>
    <definedName name="pn10wav75">#REF!</definedName>
    <definedName name="pn20agru100">#REF!</definedName>
    <definedName name="pn20agru15">#REF!</definedName>
    <definedName name="pn20agru20">#REF!</definedName>
    <definedName name="pn20agru25">#REF!</definedName>
    <definedName name="pn20agru32">#REF!</definedName>
    <definedName name="pn20agru40">#REF!</definedName>
    <definedName name="pn20agru50">#REF!</definedName>
    <definedName name="pn20agru65">#REF!</definedName>
    <definedName name="pn20agru75">#REF!</definedName>
    <definedName name="pn20sd100">#REF!</definedName>
    <definedName name="pn20sd15">#REF!</definedName>
    <definedName name="pn20sd20">#REF!</definedName>
    <definedName name="pn20sd25">#REF!</definedName>
    <definedName name="pn20sd32">#REF!</definedName>
    <definedName name="pn20sd40">#REF!</definedName>
    <definedName name="pn20sd50">#REF!</definedName>
    <definedName name="pn20sd65">#REF!</definedName>
    <definedName name="pn20sd75">#REF!</definedName>
    <definedName name="pn20wav100">#REF!</definedName>
    <definedName name="pn20wav15">#REF!</definedName>
    <definedName name="pn20wav20">#REF!</definedName>
    <definedName name="pn20wav25">#REF!</definedName>
    <definedName name="pn20wav32">#REF!</definedName>
    <definedName name="pn20wav40">#REF!</definedName>
    <definedName name="pn20wav50">#REF!</definedName>
    <definedName name="pn20wav65">#REF!</definedName>
    <definedName name="pn20wav75">#REF!</definedName>
    <definedName name="pntbs">#REF!</definedName>
    <definedName name="pompa">#REF!</definedName>
    <definedName name="pool">#REF!</definedName>
    <definedName name="pph">#REF!</definedName>
    <definedName name="ppn">#REF!</definedName>
    <definedName name="ppnbek">#REF!</definedName>
    <definedName name="ppnbeng">#REF!</definedName>
    <definedName name="ppnjati">'[7]HB '!$F$29</definedName>
    <definedName name="ppnjati_1">[8]HB!#REF!</definedName>
    <definedName name="ppnkam">#REF!</definedName>
    <definedName name="ppnkpr">'[4]HB '!$F$33</definedName>
    <definedName name="ppnkpr_1">[8]HB!#REF!</definedName>
    <definedName name="ppnmer">'[3]Harga Material'!#REF!</definedName>
    <definedName name="ppnmer_1">[8]HB!#REF!</definedName>
    <definedName name="Prelim">#REF!</definedName>
    <definedName name="_xlnm.Print_Area" localSheetId="0">RAB!$A$1:$SYR$366</definedName>
    <definedName name="_xlnm.Print_Area" localSheetId="1">REKAP!$A$1:$E$51</definedName>
    <definedName name="_xlnm.Print_Area">#REF!</definedName>
    <definedName name="Print_Area_MI">#REF!</definedName>
    <definedName name="PRINT_TILTES">#REF!</definedName>
    <definedName name="PRINT_TITILES">#REF!</definedName>
    <definedName name="PRINT_TITLE">#REF!</definedName>
    <definedName name="Print_Titles_MI">#REF!</definedName>
    <definedName name="PRITN_TITLES">#REF!</definedName>
    <definedName name="PRO">#REF!</definedName>
    <definedName name="proof">#REF!</definedName>
    <definedName name="prs">#REF!</definedName>
    <definedName name="PS">#REF!</definedName>
    <definedName name="psrbtn">'[4]HB '!$F$48</definedName>
    <definedName name="psrbtn_1">[8]HB!#REF!</definedName>
    <definedName name="psrcor">#REF!</definedName>
    <definedName name="psrps">'[4]HB '!$F$49</definedName>
    <definedName name="psrps_1">[8]HB!#REF!</definedName>
    <definedName name="psrurug">'[4]HB '!$F$50</definedName>
    <definedName name="psrurug_1">[8]HB!#REF!</definedName>
    <definedName name="pupuk">'[4]HB '!$F$186</definedName>
    <definedName name="pupuk_1">[8]HB!#REF!</definedName>
    <definedName name="pvcaw100m">#REF!</definedName>
    <definedName name="pvcaw100r">#REF!</definedName>
    <definedName name="pvcaw100w">#REF!</definedName>
    <definedName name="pvcaw100wav">#REF!</definedName>
    <definedName name="pvcaw125m">#REF!</definedName>
    <definedName name="pvcaw125r">#REF!</definedName>
    <definedName name="pvcaw125w">#REF!</definedName>
    <definedName name="pvcaw125wav">#REF!</definedName>
    <definedName name="pvcaw150m">#REF!</definedName>
    <definedName name="pvcaw150r">#REF!</definedName>
    <definedName name="pvcaw150w">#REF!</definedName>
    <definedName name="pvcaw150wav">#REF!</definedName>
    <definedName name="pvcaw15m">#REF!</definedName>
    <definedName name="pvcaw15r">#REF!</definedName>
    <definedName name="pvcaw15w">#REF!</definedName>
    <definedName name="pvcaw15wav">#REF!</definedName>
    <definedName name="pvcaw200m">#REF!</definedName>
    <definedName name="pvcaw200r">#REF!</definedName>
    <definedName name="pvcaw200w">#REF!</definedName>
    <definedName name="pvcaw200wav">#REF!</definedName>
    <definedName name="pvcaw20m">#REF!</definedName>
    <definedName name="pvcaw20r">#REF!</definedName>
    <definedName name="pvcaw20w">#REF!</definedName>
    <definedName name="pvcaw20wav">#REF!</definedName>
    <definedName name="pvcaw250m">#REF!</definedName>
    <definedName name="pvcaw250r">#REF!</definedName>
    <definedName name="pvcaw250wav">#REF!</definedName>
    <definedName name="pvcaw25m">#REF!</definedName>
    <definedName name="pvcaw25r">#REF!</definedName>
    <definedName name="pvcaw25w">#REF!</definedName>
    <definedName name="pvcaw25wav">#REF!</definedName>
    <definedName name="pvcaw300m">#REF!</definedName>
    <definedName name="pvcaw300r">#REF!</definedName>
    <definedName name="pvcaw300w">#REF!</definedName>
    <definedName name="pvcaw300wav">#REF!</definedName>
    <definedName name="pvcaw32m">#REF!</definedName>
    <definedName name="pvcaw32r">#REF!</definedName>
    <definedName name="pvcaw32w">#REF!</definedName>
    <definedName name="pvcaw32wav">#REF!</definedName>
    <definedName name="pvcaw40m">#REF!</definedName>
    <definedName name="pvcaw40r">#REF!</definedName>
    <definedName name="pvcaw40w">#REF!</definedName>
    <definedName name="pvcaw40wav">#REF!</definedName>
    <definedName name="pvcaw50m">#REF!</definedName>
    <definedName name="pvcaw50r">#REF!</definedName>
    <definedName name="pvcaw50w">#REF!</definedName>
    <definedName name="pvcaw50wav">#REF!</definedName>
    <definedName name="pvcaw65m">#REF!</definedName>
    <definedName name="pvcaw65r">#REF!</definedName>
    <definedName name="pvcaw65w">#REF!</definedName>
    <definedName name="pvcaw65wav">#REF!</definedName>
    <definedName name="pvcaw75m">#REF!</definedName>
    <definedName name="pvcaw75r">#REF!</definedName>
    <definedName name="pvcaw75w">#REF!</definedName>
    <definedName name="pvcaw75wav">#REF!</definedName>
    <definedName name="pvcd100m">#REF!</definedName>
    <definedName name="pvcd100r">#REF!</definedName>
    <definedName name="pvcd100w">#REF!</definedName>
    <definedName name="pvcd100wav">#REF!</definedName>
    <definedName name="pvcd125m">#REF!</definedName>
    <definedName name="pvcd125r">#REF!</definedName>
    <definedName name="pvcd125w">#REF!</definedName>
    <definedName name="pvcd125wav">#REF!</definedName>
    <definedName name="pvcd150m">#REF!</definedName>
    <definedName name="pvcd150r">#REF!</definedName>
    <definedName name="pvcd150w">#REF!</definedName>
    <definedName name="pvcd150wav">#REF!</definedName>
    <definedName name="pvcd200m">#REF!</definedName>
    <definedName name="pvcd200r">#REF!</definedName>
    <definedName name="pvcd200w">#REF!</definedName>
    <definedName name="pvcd200wav">#REF!</definedName>
    <definedName name="pvcd250m">#REF!</definedName>
    <definedName name="pvcd250r">#REF!</definedName>
    <definedName name="pvcd250w">#REF!</definedName>
    <definedName name="pvcd250wav">#REF!</definedName>
    <definedName name="pvcd300m">#REF!</definedName>
    <definedName name="pvcd300r">#REF!</definedName>
    <definedName name="pvcd300w">#REF!</definedName>
    <definedName name="pvcd300wav">#REF!</definedName>
    <definedName name="pvcd32m">#REF!</definedName>
    <definedName name="pvcd32w">#REF!</definedName>
    <definedName name="pvcd32wav">#REF!</definedName>
    <definedName name="pvcd40m">#REF!</definedName>
    <definedName name="pvcd40r">#REF!</definedName>
    <definedName name="pvcd40w">#REF!</definedName>
    <definedName name="pvcd40wav">#REF!</definedName>
    <definedName name="pvcd50m">#REF!</definedName>
    <definedName name="pvcd50r">#REF!</definedName>
    <definedName name="pvcd50w">#REF!</definedName>
    <definedName name="pvcd50wav">#REF!</definedName>
    <definedName name="pvcd65m">#REF!</definedName>
    <definedName name="pvcd65r">#REF!</definedName>
    <definedName name="pvcd65w">#REF!</definedName>
    <definedName name="pvcd65wav">#REF!</definedName>
    <definedName name="pvcd75m">#REF!</definedName>
    <definedName name="pvcd75r">#REF!</definedName>
    <definedName name="pvcd75w">#REF!</definedName>
    <definedName name="pvcd75wav">#REF!</definedName>
    <definedName name="RAP">#REF!</definedName>
    <definedName name="rayben3">#REF!</definedName>
    <definedName name="rayben5">#REF!</definedName>
    <definedName name="REAL">#REF!</definedName>
    <definedName name="remix175">#REF!</definedName>
    <definedName name="remix225">#REF!</definedName>
    <definedName name="remix250">'[4]HB '!$F$55</definedName>
    <definedName name="remix250_1">[8]HB!#REF!</definedName>
    <definedName name="rengjati">#REF!</definedName>
    <definedName name="resub">'[34]DAF-1'!#REF!</definedName>
    <definedName name="roldor">#REF!</definedName>
    <definedName name="roldoralm">#REF!</definedName>
    <definedName name="roldorstel">#REF!</definedName>
    <definedName name="roll">'[3]Harga Material'!$G$81</definedName>
    <definedName name="roltba">'[4]HB '!$F$162</definedName>
    <definedName name="roltba_1">[8]HB!#REF!</definedName>
    <definedName name="rost">'[3]Harga Material'!$G$94</definedName>
    <definedName name="roster">#REF!</definedName>
    <definedName name="ROUND">#REF!</definedName>
    <definedName name="Rp">'[4]HB '!#REF!</definedName>
    <definedName name="Rp_1">[8]HB!#REF!</definedName>
    <definedName name="Rucika_Wavin">#REF!</definedName>
    <definedName name="rukan_a">[35]TOWN!#REF!</definedName>
    <definedName name="rukan_aa">[35]TOWN!#REF!</definedName>
    <definedName name="rukan_b">[35]TOWN!#REF!</definedName>
    <definedName name="rukan_c">[35]TOWN!#REF!</definedName>
    <definedName name="rukan_cc">[35]TOWN!#REF!</definedName>
    <definedName name="rukan_d">[35]TOWN!#REF!</definedName>
    <definedName name="rukan_dd">[35]TOWN!#REF!</definedName>
    <definedName name="rukan_e">[35]TOWN!#REF!</definedName>
    <definedName name="rukan_ee">[35]TOWN!#REF!</definedName>
    <definedName name="rumput">'[4]HB '!$F$182</definedName>
    <definedName name="rumput_1">[8]HB!#REF!</definedName>
    <definedName name="S">#REF!</definedName>
    <definedName name="saklarg">'[4]HB '!#REF!</definedName>
    <definedName name="saklarg_1">[8]HB!#REF!</definedName>
    <definedName name="SAMBUNGAN_LISTRIK">#REF!</definedName>
    <definedName name="sayan">#REF!</definedName>
    <definedName name="sc_gyp">#REF!</definedName>
    <definedName name="sekgnd">#REF!</definedName>
    <definedName name="sektgl">#REF!</definedName>
    <definedName name="semen">'[12]Harga Material'!$G$13</definedName>
    <definedName name="semen_1">[8]HB!#REF!</definedName>
    <definedName name="semenpc">#REF!</definedName>
    <definedName name="semenpth">'[4]HB '!#REF!</definedName>
    <definedName name="semenpth_1">[8]HB!#REF!</definedName>
    <definedName name="semenwarna">'[4]HB '!$F$54</definedName>
    <definedName name="semenwarna_1">[8]HB!#REF!</definedName>
    <definedName name="sending">#REF!</definedName>
    <definedName name="sengbjls30">#REF!</definedName>
    <definedName name="senggel">'[4]HB '!#REF!</definedName>
    <definedName name="senggel_1">[8]HB!#REF!</definedName>
    <definedName name="sengplat">#REF!</definedName>
    <definedName name="Septic">#REF!</definedName>
    <definedName name="setgbr">#REF!</definedName>
    <definedName name="sfvd100">#REF!</definedName>
    <definedName name="sheet">#REF!</definedName>
    <definedName name="SIAP">#REF!</definedName>
    <definedName name="sifon">'[4]HB '!$F$161</definedName>
    <definedName name="sifon_1">[8]HB!#REF!</definedName>
    <definedName name="siku40">'[4]HB '!$F$69</definedName>
    <definedName name="siku40_1">[8]HB!#REF!</definedName>
    <definedName name="siku6b">[24]HB!#REF!</definedName>
    <definedName name="siku6k">'[4]HB '!#REF!</definedName>
    <definedName name="siku6k_1">[8]HB!#REF!</definedName>
    <definedName name="siphon">#REF!</definedName>
    <definedName name="sirlak">#REF!</definedName>
    <definedName name="sirtu">#REF!</definedName>
    <definedName name="sit_mix_225">#REF!</definedName>
    <definedName name="skl1e30">#REF!</definedName>
    <definedName name="skl1htl">#REF!</definedName>
    <definedName name="skl2e30">#REF!</definedName>
    <definedName name="skl2htl">#REF!</definedName>
    <definedName name="skl3e30">#REF!</definedName>
    <definedName name="sklrgnd">#REF!</definedName>
    <definedName name="sklrtgl">#REF!</definedName>
    <definedName name="slang">'[4]HB '!$F$163</definedName>
    <definedName name="slang_1">[8]HB!#REF!</definedName>
    <definedName name="slank">#REF!</definedName>
    <definedName name="solven">#REF!</definedName>
    <definedName name="spandex">#REF!</definedName>
    <definedName name="SPEK">#REF!</definedName>
    <definedName name="spirtus">#REF!</definedName>
    <definedName name="spk">#REF!</definedName>
    <definedName name="sten1">#REF!</definedName>
    <definedName name="sten12">'[4]HB '!$F$45</definedName>
    <definedName name="sten12_1">[8]HB!#REF!</definedName>
    <definedName name="sten12t">'[4]HB '!#REF!</definedName>
    <definedName name="sten12t_1">[8]HB!#REF!</definedName>
    <definedName name="sten23">#REF!</definedName>
    <definedName name="sten35">#REF!</definedName>
    <definedName name="sten57">#REF!</definedName>
    <definedName name="stk">#REF!</definedName>
    <definedName name="stk_biasa">#REF!</definedName>
    <definedName name="stk_data">#REF!</definedName>
    <definedName name="stk_lantai">#REF!</definedName>
    <definedName name="stk_telp">#REF!</definedName>
    <definedName name="stk_tlp">#REF!</definedName>
    <definedName name="stk_tv">#REF!</definedName>
    <definedName name="stopkontak">'[4]HB '!#REF!</definedName>
    <definedName name="stopkontak_1">[8]HB!#REF!</definedName>
    <definedName name="stopkontak3">#REF!</definedName>
    <definedName name="sumbat">'[4]HB '!$F$150</definedName>
    <definedName name="sumbat_1">[8]HB!#REF!</definedName>
    <definedName name="t">[36]BHN1!$F$167</definedName>
    <definedName name="t.pan">'[3]Harga Material'!$G$25</definedName>
    <definedName name="t_bs">#REF!</definedName>
    <definedName name="t_bt">#REF!</definedName>
    <definedName name="t_fin">#REF!</definedName>
    <definedName name="t_ky">#REF!</definedName>
    <definedName name="talkaret">#REF!</definedName>
    <definedName name="tanah">#REF!</definedName>
    <definedName name="tanahtaman">'[4]HB '!$F$185</definedName>
    <definedName name="tanahtaman_1">[8]HB!#REF!</definedName>
    <definedName name="TANGGA">#REF!</definedName>
    <definedName name="tape">'[3]Harga Material'!#REF!</definedName>
    <definedName name="TaxTV">10%</definedName>
    <definedName name="TaxXL">5%</definedName>
    <definedName name="TB">#REF!</definedName>
    <definedName name="TBs">#REF!</definedName>
    <definedName name="TC">#REF!</definedName>
    <definedName name="teer">'[4]HB '!$F$104</definedName>
    <definedName name="teer_1">[8]HB!#REF!</definedName>
    <definedName name="tera">#REF!</definedName>
    <definedName name="tglabu2020">#REF!</definedName>
    <definedName name="tgstainlis">#REF!</definedName>
    <definedName name="tiner">#REF!</definedName>
    <definedName name="TK">#REF!</definedName>
    <definedName name="tkbatu">'[4]HB '!$F$203</definedName>
    <definedName name="tkbatu_1">[8]HB!#REF!</definedName>
    <definedName name="tkbesi">'[4]HB '!$F$204</definedName>
    <definedName name="tkbesi_1">[8]HB!#REF!</definedName>
    <definedName name="tkcat">'[4]HB '!$F$205</definedName>
    <definedName name="tkcat_1">[8]HB!#REF!</definedName>
    <definedName name="tkgali">'[4]HB '!$F$201</definedName>
    <definedName name="tkgali_1">[8]HB!#REF!</definedName>
    <definedName name="tkkayu">'[4]HB '!$F$202</definedName>
    <definedName name="tkkayu_1">[8]HB!#REF!</definedName>
    <definedName name="tkledeng">'[37]HB me'!#REF!</definedName>
    <definedName name="tklistrik">'[37]HB me'!#REF!</definedName>
    <definedName name="tkplitur">'[37]HB me'!#REF!</definedName>
    <definedName name="TKY">#REF!</definedName>
    <definedName name="tl1x20">#REF!</definedName>
    <definedName name="tl1x40">#REF!</definedName>
    <definedName name="tl2x20">#REF!</definedName>
    <definedName name="tnhtanam">#REF!</definedName>
    <definedName name="tnhurug">#REF!</definedName>
    <definedName name="total">[30]HB!#REF!</definedName>
    <definedName name="town_a">#REF!</definedName>
    <definedName name="town_b">#REF!</definedName>
    <definedName name="town_c">#REF!</definedName>
    <definedName name="town_d">#REF!</definedName>
    <definedName name="town_e">#REF!</definedName>
    <definedName name="tralis">#REF!</definedName>
    <definedName name="traljend">#REF!</definedName>
    <definedName name="trip110">#REF!</definedName>
    <definedName name="trip120">[24]HB!#REF!</definedName>
    <definedName name="trip18">#REF!</definedName>
    <definedName name="trip4">'[3]Harga Material'!#REF!</definedName>
    <definedName name="trip6">#REF!</definedName>
    <definedName name="trip9">'[3]Harga Material'!$G$37</definedName>
    <definedName name="tripalm110">#REF!</definedName>
    <definedName name="tripnyato">#REF!</definedName>
    <definedName name="TS">#REF!</definedName>
    <definedName name="ttk_lp_outdoor">'[38]GRAND TOTAL'!#REF!</definedName>
    <definedName name="ttk_stk">'[38]GRAND TOTAL'!#REF!</definedName>
    <definedName name="ttk_telp">'[38]GRAND TOTAL'!#REF!</definedName>
    <definedName name="ttk_tv">'[38]GRAND TOTAL'!#REF!</definedName>
    <definedName name="ttkinst">'[4]HB '!#REF!</definedName>
    <definedName name="ttkinst_1">[8]HB!#REF!</definedName>
    <definedName name="ttklampu">#REF!</definedName>
    <definedName name="ttkstop">#REF!</definedName>
    <definedName name="twood">#REF!</definedName>
    <definedName name="twood110">#REF!</definedName>
    <definedName name="twood122">#REF!</definedName>
    <definedName name="twoodalm">#REF!</definedName>
    <definedName name="Type__B">#REF!</definedName>
    <definedName name="Type_A">#REF!</definedName>
    <definedName name="Type_C">#REF!</definedName>
    <definedName name="TYPICAL_FLOOR___7_LEVEL">#REF!</definedName>
    <definedName name="u">#REF!</definedName>
    <definedName name="u._keet">#REF!</definedName>
    <definedName name="u.acidin">#REF!</definedName>
    <definedName name="u.aciplat">#REF!</definedName>
    <definedName name="u.baja">#REF!</definedName>
    <definedName name="u.bata">#REF!</definedName>
    <definedName name="u.batako">'[3]Harga Material'!$G$119</definedName>
    <definedName name="u.bekis">'[3]Harga Material'!$G$109</definedName>
    <definedName name="u.besi">'[3]Harga Material'!$G$110</definedName>
    <definedName name="u.beton">'[6]Harga Material'!$G$115</definedName>
    <definedName name="u.beton_sit_M">#REF!</definedName>
    <definedName name="u.bow">'[3]Harga Material'!$G$101</definedName>
    <definedName name="u.bubung">'[3]Harga Material'!$G$150</definedName>
    <definedName name="u.cat">'[3]Harga Material'!$G$137</definedName>
    <definedName name="u.catbesi">#REF!</definedName>
    <definedName name="u.cyc">'[3]Harga Material'!#REF!</definedName>
    <definedName name="u.engsel">#REF!</definedName>
    <definedName name="u.fabkus">#REF!</definedName>
    <definedName name="u.gal">#REF!</definedName>
    <definedName name="u.genteng">'[3]Harga Material'!$G$149</definedName>
    <definedName name="u.kait">#REF!</definedName>
    <definedName name="u.kali">#REF!</definedName>
    <definedName name="u.kans">#REF!</definedName>
    <definedName name="u.krm20">#REF!</definedName>
    <definedName name="u.krm30">'[3]Harga Material'!$G$127</definedName>
    <definedName name="u.krm60">#REF!</definedName>
    <definedName name="u.kuda">#REF!</definedName>
    <definedName name="u.kunci">#REF!</definedName>
    <definedName name="u.lisplank">'[3]Harga Material'!$G$148</definedName>
    <definedName name="u.mar">#REF!</definedName>
    <definedName name="u.mikdin">'[3]Harga Material'!$G$130</definedName>
    <definedName name="u.mix">'[3]Harga Material'!#REF!</definedName>
    <definedName name="u.pa2040">'[3]Harga Material'!$G$129</definedName>
    <definedName name="u.panc">'[3]Harga Material'!$G$112</definedName>
    <definedName name="u.panel">'[12]Harga Material'!$G$49</definedName>
    <definedName name="u.pas_jendkac">#REF!</definedName>
    <definedName name="u.pas_kus">#REF!</definedName>
    <definedName name="u.pas_pinmult">#REF!</definedName>
    <definedName name="u.pas_pinpan">#REF!</definedName>
    <definedName name="u.pasir">'[3]Harga Material'!$G$108</definedName>
    <definedName name="u.paskus">#REF!</definedName>
    <definedName name="u.pav">#REF!</definedName>
    <definedName name="u.plafon">#REF!</definedName>
    <definedName name="u.plester">#REF!</definedName>
    <definedName name="u.plin">#REF!</definedName>
    <definedName name="u.plitur">#REF!</definedName>
    <definedName name="u.proof">#REF!</definedName>
    <definedName name="u.rabat">#REF!</definedName>
    <definedName name="u.remix">#REF!</definedName>
    <definedName name="u.reng">'[3]Harga Material'!#REF!</definedName>
    <definedName name="u.talia">#REF!</definedName>
    <definedName name="u.tiang">'[12]Harga Material'!$G$48</definedName>
    <definedName name="u.urg">#REF!</definedName>
    <definedName name="u.urgbali">'[3]Harga Material'!$G$106</definedName>
    <definedName name="u.usuk">'[3]Harga Material'!$G$147</definedName>
    <definedName name="u.usuk2">'[3]Harga Material'!#REF!</definedName>
    <definedName name="UPAH">#REF!</definedName>
    <definedName name="usukmer">'[4]HB '!$F$37</definedName>
    <definedName name="usukmer_1">[8]HB!#REF!</definedName>
    <definedName name="v">#REF!</definedName>
    <definedName name="vibra">'[3]Harga Material'!$G$155</definedName>
    <definedName name="vntf100">#REF!</definedName>
    <definedName name="vntf80">#REF!</definedName>
    <definedName name="vol">#REF!</definedName>
    <definedName name="VOLUME">#REF!</definedName>
    <definedName name="wa">#REF!</definedName>
    <definedName name="wafel2020">#REF!</definedName>
    <definedName name="wastafel">'[4]HB '!$F$155</definedName>
    <definedName name="wastafel_1">[8]HB!#REF!</definedName>
    <definedName name="watermur">'[4]HB '!$F$159</definedName>
    <definedName name="watermur_1">[8]HB!#REF!</definedName>
    <definedName name="waterproofing">'[4]HB '!$F$165</definedName>
    <definedName name="waterproofing_1">[8]HB!#REF!</definedName>
    <definedName name="waterstop">'[4]HB '!$F$166</definedName>
    <definedName name="waterstop_1">[8]HB!#REF!</definedName>
    <definedName name="wf">'[4]HB '!#REF!</definedName>
    <definedName name="wf_1">[8]HB!#REF!</definedName>
    <definedName name="windak">#REF!</definedName>
    <definedName name="wood">#REF!</definedName>
    <definedName name="wtc">#REF!</definedName>
    <definedName name="y">[36]BHN1!$F$166</definedName>
    <definedName name="Z_4A4DBCF5_6E02_43D6_8F4D_223D21633DB8_.wvu.PrintArea" hidden="1">#REF!</definedName>
    <definedName name="Z_4A4DBCF5_6E02_43D6_8F4D_223D21633DB8_.wvu.Rows" hidden="1">'[39]Analisa SNI STANDART '!$A$155:$IV$155,'[39]Analisa SNI STANDART '!$A$3144:$IV$3431</definedName>
  </definedNames>
  <calcPr calcId="171027"/>
</workbook>
</file>

<file path=xl/calcChain.xml><?xml version="1.0" encoding="utf-8"?>
<calcChain xmlns="http://schemas.openxmlformats.org/spreadsheetml/2006/main">
  <c r="B28" i="11"/>
  <c r="B27"/>
  <c r="B26"/>
  <c r="B25"/>
  <c r="B24"/>
  <c r="B23"/>
  <c r="B22"/>
  <c r="B21"/>
  <c r="B20"/>
  <c r="I363" i="10"/>
  <c r="E363"/>
  <c r="J363" s="1"/>
  <c r="J361"/>
  <c r="K361"/>
  <c r="I361"/>
  <c r="E359"/>
  <c r="E182"/>
  <c r="J182" s="1"/>
  <c r="I182"/>
  <c r="K363" l="1"/>
  <c r="L363" s="1"/>
  <c r="L361"/>
  <c r="K182"/>
  <c r="L182" s="1"/>
  <c r="E330" l="1"/>
  <c r="E329"/>
  <c r="E328"/>
  <c r="E327"/>
  <c r="E322"/>
  <c r="I313"/>
  <c r="J313"/>
  <c r="K313"/>
  <c r="E312"/>
  <c r="E311"/>
  <c r="E310"/>
  <c r="E290"/>
  <c r="E291"/>
  <c r="E292"/>
  <c r="E282"/>
  <c r="E281"/>
  <c r="E279"/>
  <c r="E283" s="1"/>
  <c r="E278"/>
  <c r="E277"/>
  <c r="E275"/>
  <c r="E274"/>
  <c r="E273"/>
  <c r="E269"/>
  <c r="E268"/>
  <c r="E263"/>
  <c r="E262"/>
  <c r="E261"/>
  <c r="E260"/>
  <c r="I237"/>
  <c r="K237"/>
  <c r="J237"/>
  <c r="E224"/>
  <c r="E214"/>
  <c r="K215"/>
  <c r="J215"/>
  <c r="I215"/>
  <c r="A215"/>
  <c r="A216" s="1"/>
  <c r="K207"/>
  <c r="J207"/>
  <c r="I207"/>
  <c r="K206"/>
  <c r="J206"/>
  <c r="I206"/>
  <c r="K205"/>
  <c r="J205"/>
  <c r="I205"/>
  <c r="K204"/>
  <c r="J204"/>
  <c r="I204"/>
  <c r="E195"/>
  <c r="E194"/>
  <c r="E193"/>
  <c r="I189"/>
  <c r="J189"/>
  <c r="K189"/>
  <c r="I190"/>
  <c r="J190"/>
  <c r="K190"/>
  <c r="I191"/>
  <c r="J191"/>
  <c r="K191"/>
  <c r="L313" l="1"/>
  <c r="L237"/>
  <c r="L205"/>
  <c r="L190"/>
  <c r="L215"/>
  <c r="L189"/>
  <c r="L204"/>
  <c r="L207"/>
  <c r="L206"/>
  <c r="L191"/>
  <c r="E180" l="1"/>
  <c r="E179"/>
  <c r="E176"/>
  <c r="E175"/>
  <c r="E181" s="1"/>
  <c r="E174"/>
  <c r="E173"/>
  <c r="E171"/>
  <c r="E169"/>
  <c r="K169" s="1"/>
  <c r="E170"/>
  <c r="I165"/>
  <c r="E165"/>
  <c r="K165" s="1"/>
  <c r="E157"/>
  <c r="K157" s="1"/>
  <c r="E164"/>
  <c r="K164" s="1"/>
  <c r="E163"/>
  <c r="E162"/>
  <c r="K162" s="1"/>
  <c r="E160"/>
  <c r="K160" s="1"/>
  <c r="I162"/>
  <c r="I161"/>
  <c r="E161"/>
  <c r="K161" s="1"/>
  <c r="I160"/>
  <c r="I159"/>
  <c r="E159"/>
  <c r="J159" s="1"/>
  <c r="I158"/>
  <c r="E158"/>
  <c r="K158" s="1"/>
  <c r="E156"/>
  <c r="K156" s="1"/>
  <c r="E155"/>
  <c r="K155" s="1"/>
  <c r="E154"/>
  <c r="K255"/>
  <c r="J255"/>
  <c r="I255"/>
  <c r="K254"/>
  <c r="G254"/>
  <c r="J254" s="1"/>
  <c r="K253"/>
  <c r="J253"/>
  <c r="I253"/>
  <c r="K252"/>
  <c r="J252"/>
  <c r="I252"/>
  <c r="K251"/>
  <c r="J251"/>
  <c r="I251"/>
  <c r="K250"/>
  <c r="J250"/>
  <c r="I250"/>
  <c r="K249"/>
  <c r="J249"/>
  <c r="I249"/>
  <c r="K248"/>
  <c r="J248"/>
  <c r="I248"/>
  <c r="K247"/>
  <c r="J247"/>
  <c r="I247"/>
  <c r="K246"/>
  <c r="J246"/>
  <c r="I246"/>
  <c r="K245"/>
  <c r="J245"/>
  <c r="I245"/>
  <c r="K244"/>
  <c r="J244"/>
  <c r="I244"/>
  <c r="A244"/>
  <c r="A245" s="1"/>
  <c r="A246" s="1"/>
  <c r="A247" s="1"/>
  <c r="K243"/>
  <c r="J243"/>
  <c r="I243"/>
  <c r="K239"/>
  <c r="J239"/>
  <c r="I239"/>
  <c r="K238"/>
  <c r="J238"/>
  <c r="I238"/>
  <c r="K236"/>
  <c r="J236"/>
  <c r="I236"/>
  <c r="K235"/>
  <c r="J235"/>
  <c r="I235"/>
  <c r="K234"/>
  <c r="J234"/>
  <c r="I234"/>
  <c r="K233"/>
  <c r="J233"/>
  <c r="I233"/>
  <c r="K232"/>
  <c r="J232"/>
  <c r="I232"/>
  <c r="I231"/>
  <c r="E231"/>
  <c r="K231" s="1"/>
  <c r="I230"/>
  <c r="E230"/>
  <c r="K230" s="1"/>
  <c r="I229"/>
  <c r="E229"/>
  <c r="K229" s="1"/>
  <c r="A229"/>
  <c r="A230" s="1"/>
  <c r="A231" s="1"/>
  <c r="A232" s="1"/>
  <c r="A233" s="1"/>
  <c r="A234" s="1"/>
  <c r="A235" s="1"/>
  <c r="A236" s="1"/>
  <c r="I228"/>
  <c r="E228"/>
  <c r="K228" s="1"/>
  <c r="I224"/>
  <c r="K224"/>
  <c r="I223"/>
  <c r="E223"/>
  <c r="K223" s="1"/>
  <c r="I222"/>
  <c r="I221"/>
  <c r="A221"/>
  <c r="A222" s="1"/>
  <c r="A223" s="1"/>
  <c r="A224" s="1"/>
  <c r="I220"/>
  <c r="I216"/>
  <c r="I214"/>
  <c r="K214"/>
  <c r="K210"/>
  <c r="J210"/>
  <c r="I210"/>
  <c r="K209"/>
  <c r="J209"/>
  <c r="I209"/>
  <c r="K208"/>
  <c r="J208"/>
  <c r="I208"/>
  <c r="K203"/>
  <c r="J203"/>
  <c r="I203"/>
  <c r="K202"/>
  <c r="J202"/>
  <c r="I202"/>
  <c r="K201"/>
  <c r="J201"/>
  <c r="I201"/>
  <c r="K200"/>
  <c r="J200"/>
  <c r="I200"/>
  <c r="A200"/>
  <c r="A201" s="1"/>
  <c r="A202" s="1"/>
  <c r="A203" s="1"/>
  <c r="K199"/>
  <c r="J199"/>
  <c r="I199"/>
  <c r="I195"/>
  <c r="K195"/>
  <c r="I194"/>
  <c r="K194"/>
  <c r="I193"/>
  <c r="K193"/>
  <c r="K192"/>
  <c r="J192"/>
  <c r="I192"/>
  <c r="K188"/>
  <c r="J188"/>
  <c r="I188"/>
  <c r="K187"/>
  <c r="J187"/>
  <c r="I187"/>
  <c r="A187"/>
  <c r="A188" s="1"/>
  <c r="K186"/>
  <c r="J186"/>
  <c r="I186"/>
  <c r="I181"/>
  <c r="I180"/>
  <c r="K180"/>
  <c r="I179"/>
  <c r="K179"/>
  <c r="K178"/>
  <c r="J178"/>
  <c r="I178"/>
  <c r="K177"/>
  <c r="J177"/>
  <c r="I177"/>
  <c r="I176"/>
  <c r="K176"/>
  <c r="I175"/>
  <c r="I174"/>
  <c r="K174"/>
  <c r="I173"/>
  <c r="K173"/>
  <c r="I172"/>
  <c r="I171"/>
  <c r="K171"/>
  <c r="I170"/>
  <c r="K170"/>
  <c r="A170"/>
  <c r="A171" s="1"/>
  <c r="A172" s="1"/>
  <c r="A173" s="1"/>
  <c r="A174" s="1"/>
  <c r="A175" s="1"/>
  <c r="A176" s="1"/>
  <c r="A177" s="1"/>
  <c r="A178" s="1"/>
  <c r="A179" s="1"/>
  <c r="G169"/>
  <c r="I169" s="1"/>
  <c r="I164"/>
  <c r="I163"/>
  <c r="K163"/>
  <c r="I157"/>
  <c r="G156"/>
  <c r="I156" s="1"/>
  <c r="G155"/>
  <c r="I155" s="1"/>
  <c r="A155"/>
  <c r="A156" s="1"/>
  <c r="G154"/>
  <c r="I154" s="1"/>
  <c r="E122"/>
  <c r="E120"/>
  <c r="E118"/>
  <c r="E119"/>
  <c r="E114"/>
  <c r="I105"/>
  <c r="J105"/>
  <c r="K105"/>
  <c r="E104"/>
  <c r="A105"/>
  <c r="A106" s="1"/>
  <c r="A248" l="1"/>
  <c r="A249" s="1"/>
  <c r="A250" s="1"/>
  <c r="A251" s="1"/>
  <c r="A252" s="1"/>
  <c r="A253" s="1"/>
  <c r="A254" s="1"/>
  <c r="A255" s="1"/>
  <c r="A237"/>
  <c r="A238" s="1"/>
  <c r="A239" s="1"/>
  <c r="A204"/>
  <c r="A205" s="1"/>
  <c r="A206" s="1"/>
  <c r="A207" s="1"/>
  <c r="A208" s="1"/>
  <c r="A209" s="1"/>
  <c r="A210" s="1"/>
  <c r="A189"/>
  <c r="A190" s="1"/>
  <c r="A191" s="1"/>
  <c r="A192" s="1"/>
  <c r="A193" s="1"/>
  <c r="A194" s="1"/>
  <c r="A195" s="1"/>
  <c r="K175"/>
  <c r="L177"/>
  <c r="A180"/>
  <c r="A181" s="1"/>
  <c r="K159"/>
  <c r="L159" s="1"/>
  <c r="J165"/>
  <c r="L165" s="1"/>
  <c r="L209"/>
  <c r="L238"/>
  <c r="J223"/>
  <c r="L223" s="1"/>
  <c r="L208"/>
  <c r="L236"/>
  <c r="L244"/>
  <c r="L251"/>
  <c r="L243"/>
  <c r="L178"/>
  <c r="L186"/>
  <c r="J171"/>
  <c r="L171" s="1"/>
  <c r="L192"/>
  <c r="J195"/>
  <c r="L195" s="1"/>
  <c r="L199"/>
  <c r="L200"/>
  <c r="L210"/>
  <c r="L232"/>
  <c r="J161"/>
  <c r="L161" s="1"/>
  <c r="L201"/>
  <c r="E222"/>
  <c r="K222" s="1"/>
  <c r="L233"/>
  <c r="L247"/>
  <c r="L250"/>
  <c r="L105"/>
  <c r="J163"/>
  <c r="E172"/>
  <c r="K172" s="1"/>
  <c r="J173"/>
  <c r="L173" s="1"/>
  <c r="L188"/>
  <c r="L203"/>
  <c r="J229"/>
  <c r="L229" s="1"/>
  <c r="L235"/>
  <c r="L248"/>
  <c r="L254"/>
  <c r="J158"/>
  <c r="L158" s="1"/>
  <c r="J160"/>
  <c r="L160" s="1"/>
  <c r="J162"/>
  <c r="L162" s="1"/>
  <c r="L163"/>
  <c r="A157"/>
  <c r="L187"/>
  <c r="L246"/>
  <c r="J169"/>
  <c r="L169" s="1"/>
  <c r="J175"/>
  <c r="J179"/>
  <c r="L179" s="1"/>
  <c r="J193"/>
  <c r="L193" s="1"/>
  <c r="J231"/>
  <c r="L231" s="1"/>
  <c r="L239"/>
  <c r="L245"/>
  <c r="L252"/>
  <c r="L255"/>
  <c r="E220"/>
  <c r="K220" s="1"/>
  <c r="K181"/>
  <c r="L202"/>
  <c r="L234"/>
  <c r="L253"/>
  <c r="J154"/>
  <c r="L249"/>
  <c r="J156"/>
  <c r="L156" s="1"/>
  <c r="J157"/>
  <c r="L157" s="1"/>
  <c r="J164"/>
  <c r="L164" s="1"/>
  <c r="J194"/>
  <c r="L194" s="1"/>
  <c r="J214"/>
  <c r="L214" s="1"/>
  <c r="E216"/>
  <c r="I254"/>
  <c r="K154"/>
  <c r="J155"/>
  <c r="L155" s="1"/>
  <c r="J170"/>
  <c r="L170" s="1"/>
  <c r="J174"/>
  <c r="L174" s="1"/>
  <c r="J176"/>
  <c r="L176" s="1"/>
  <c r="J180"/>
  <c r="L180" s="1"/>
  <c r="E221"/>
  <c r="J224"/>
  <c r="L224" s="1"/>
  <c r="J228"/>
  <c r="L228" s="1"/>
  <c r="J230"/>
  <c r="L230" s="1"/>
  <c r="L240" l="1"/>
  <c r="E27" i="11" s="1"/>
  <c r="L211" i="10"/>
  <c r="E24" i="11" s="1"/>
  <c r="L175" i="10"/>
  <c r="J222"/>
  <c r="L222" s="1"/>
  <c r="J220"/>
  <c r="L220" s="1"/>
  <c r="J181"/>
  <c r="L181" s="1"/>
  <c r="L154"/>
  <c r="L166" s="1"/>
  <c r="E21" i="11" s="1"/>
  <c r="L256" i="10"/>
  <c r="E28" i="11" s="1"/>
  <c r="J172" i="10"/>
  <c r="L172" s="1"/>
  <c r="A158"/>
  <c r="A159" s="1"/>
  <c r="A160" s="1"/>
  <c r="A161" s="1"/>
  <c r="A162" s="1"/>
  <c r="A163" s="1"/>
  <c r="A164" s="1"/>
  <c r="A165" s="1"/>
  <c r="L196"/>
  <c r="E23" i="11" s="1"/>
  <c r="J216" i="10"/>
  <c r="K216"/>
  <c r="J221"/>
  <c r="K221"/>
  <c r="L183" l="1"/>
  <c r="E22" i="11" s="1"/>
  <c r="L221" i="10"/>
  <c r="L225" s="1"/>
  <c r="E26" i="11" s="1"/>
  <c r="L216" i="10"/>
  <c r="L217" s="1"/>
  <c r="E25" i="11" s="1"/>
  <c r="E29" l="1"/>
  <c r="I90" i="1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81"/>
  <c r="J81"/>
  <c r="K81"/>
  <c r="E80"/>
  <c r="E79"/>
  <c r="E65"/>
  <c r="J64"/>
  <c r="K64"/>
  <c r="L95" l="1"/>
  <c r="L81"/>
  <c r="L64"/>
  <c r="L90"/>
  <c r="L91"/>
  <c r="L97"/>
  <c r="L96"/>
  <c r="L93"/>
  <c r="L94"/>
  <c r="L92"/>
  <c r="E63"/>
  <c r="E62"/>
  <c r="E61"/>
  <c r="E60"/>
  <c r="E59"/>
  <c r="E57"/>
  <c r="E55"/>
  <c r="E54"/>
  <c r="E53"/>
  <c r="I44"/>
  <c r="I45"/>
  <c r="E49"/>
  <c r="E48"/>
  <c r="E47"/>
  <c r="E46"/>
  <c r="E45"/>
  <c r="K45" s="1"/>
  <c r="E44"/>
  <c r="K44" s="1"/>
  <c r="E43"/>
  <c r="E42"/>
  <c r="E41"/>
  <c r="E40"/>
  <c r="E39"/>
  <c r="E37"/>
  <c r="K37" s="1"/>
  <c r="E36"/>
  <c r="K36" s="1"/>
  <c r="E35"/>
  <c r="K35" s="1"/>
  <c r="E34"/>
  <c r="E33"/>
  <c r="I37"/>
  <c r="I36"/>
  <c r="I35"/>
  <c r="E27"/>
  <c r="E25"/>
  <c r="E24"/>
  <c r="E23"/>
  <c r="E22"/>
  <c r="E21"/>
  <c r="E20"/>
  <c r="E19"/>
  <c r="E18"/>
  <c r="J45" l="1"/>
  <c r="L45" s="1"/>
  <c r="J35"/>
  <c r="L35" s="1"/>
  <c r="J44"/>
  <c r="L44" s="1"/>
  <c r="J37"/>
  <c r="L37" s="1"/>
  <c r="J36"/>
  <c r="L36" s="1"/>
  <c r="E14" l="1"/>
  <c r="E9"/>
  <c r="E10"/>
  <c r="K280" l="1"/>
  <c r="J280"/>
  <c r="I280"/>
  <c r="K279"/>
  <c r="I279"/>
  <c r="K278"/>
  <c r="J277"/>
  <c r="I278"/>
  <c r="I277"/>
  <c r="E293"/>
  <c r="K293" s="1"/>
  <c r="I293"/>
  <c r="K292"/>
  <c r="J292"/>
  <c r="I292"/>
  <c r="K291"/>
  <c r="J291"/>
  <c r="I291"/>
  <c r="K290"/>
  <c r="J290"/>
  <c r="I290"/>
  <c r="E267"/>
  <c r="E266"/>
  <c r="E265"/>
  <c r="E264"/>
  <c r="I79"/>
  <c r="I80"/>
  <c r="J80"/>
  <c r="J79"/>
  <c r="K77"/>
  <c r="J77"/>
  <c r="I77"/>
  <c r="K76"/>
  <c r="J76"/>
  <c r="I76"/>
  <c r="K74"/>
  <c r="J74"/>
  <c r="I74"/>
  <c r="K75"/>
  <c r="J75"/>
  <c r="I75"/>
  <c r="E38"/>
  <c r="E32"/>
  <c r="E31"/>
  <c r="L280" l="1"/>
  <c r="J279"/>
  <c r="L279" s="1"/>
  <c r="L290"/>
  <c r="K277"/>
  <c r="L277" s="1"/>
  <c r="J278"/>
  <c r="L278" s="1"/>
  <c r="L292"/>
  <c r="J293"/>
  <c r="L293" s="1"/>
  <c r="L291"/>
  <c r="K80"/>
  <c r="L80" s="1"/>
  <c r="K79"/>
  <c r="L79" s="1"/>
  <c r="L76"/>
  <c r="L77"/>
  <c r="L75"/>
  <c r="L74"/>
  <c r="E26"/>
  <c r="I362"/>
  <c r="K362"/>
  <c r="J362"/>
  <c r="J360"/>
  <c r="K360"/>
  <c r="I360"/>
  <c r="L360" l="1"/>
  <c r="L362"/>
  <c r="G312" l="1"/>
  <c r="G311"/>
  <c r="A306"/>
  <c r="K289"/>
  <c r="J289"/>
  <c r="I289"/>
  <c r="K288"/>
  <c r="J288"/>
  <c r="I288"/>
  <c r="A288"/>
  <c r="A289" s="1"/>
  <c r="A290" s="1"/>
  <c r="A291" s="1"/>
  <c r="A292" s="1"/>
  <c r="A293" s="1"/>
  <c r="K266"/>
  <c r="I266"/>
  <c r="E121"/>
  <c r="K78"/>
  <c r="J78"/>
  <c r="I78"/>
  <c r="K73"/>
  <c r="J73"/>
  <c r="I73"/>
  <c r="L289" l="1"/>
  <c r="L288"/>
  <c r="J266"/>
  <c r="L266" s="1"/>
  <c r="L78"/>
  <c r="L73"/>
  <c r="E66"/>
  <c r="K287"/>
  <c r="J287"/>
  <c r="I287"/>
  <c r="K262"/>
  <c r="G262"/>
  <c r="I139"/>
  <c r="K139"/>
  <c r="J139"/>
  <c r="K65"/>
  <c r="J65"/>
  <c r="I65"/>
  <c r="K63"/>
  <c r="J63"/>
  <c r="I63"/>
  <c r="K46"/>
  <c r="I46"/>
  <c r="K41"/>
  <c r="I41"/>
  <c r="K34"/>
  <c r="I34"/>
  <c r="J32"/>
  <c r="A32"/>
  <c r="A33" s="1"/>
  <c r="I32"/>
  <c r="J20"/>
  <c r="I20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L287"/>
  <c r="L294" s="1"/>
  <c r="J262"/>
  <c r="L262" s="1"/>
  <c r="I262"/>
  <c r="L139"/>
  <c r="K32"/>
  <c r="L32" s="1"/>
  <c r="K20"/>
  <c r="L20" s="1"/>
  <c r="L63"/>
  <c r="L65"/>
  <c r="J46"/>
  <c r="L46" s="1"/>
  <c r="J41"/>
  <c r="L41" s="1"/>
  <c r="J34"/>
  <c r="L34" s="1"/>
  <c r="K343" l="1"/>
  <c r="J343"/>
  <c r="I343"/>
  <c r="I312"/>
  <c r="K312"/>
  <c r="K299"/>
  <c r="J299"/>
  <c r="I299"/>
  <c r="E276"/>
  <c r="J312" l="1"/>
  <c r="L312" s="1"/>
  <c r="L343"/>
  <c r="L299"/>
  <c r="K87" l="1"/>
  <c r="J87"/>
  <c r="I87"/>
  <c r="L87" l="1"/>
  <c r="J57" l="1"/>
  <c r="I58"/>
  <c r="K58"/>
  <c r="I57"/>
  <c r="E56"/>
  <c r="G9"/>
  <c r="I9" s="1"/>
  <c r="K10"/>
  <c r="I10"/>
  <c r="A11"/>
  <c r="A12" s="1"/>
  <c r="A13" s="1"/>
  <c r="A14" s="1"/>
  <c r="I11"/>
  <c r="J11"/>
  <c r="K11"/>
  <c r="I12"/>
  <c r="J12"/>
  <c r="K12"/>
  <c r="I13"/>
  <c r="J13"/>
  <c r="K13"/>
  <c r="J14"/>
  <c r="I14"/>
  <c r="J58" l="1"/>
  <c r="L58" s="1"/>
  <c r="K57"/>
  <c r="L57" s="1"/>
  <c r="J9"/>
  <c r="K9"/>
  <c r="L11"/>
  <c r="J10"/>
  <c r="L10" s="1"/>
  <c r="L13"/>
  <c r="L12"/>
  <c r="K14"/>
  <c r="L14" s="1"/>
  <c r="K332"/>
  <c r="J332"/>
  <c r="I332"/>
  <c r="E306"/>
  <c r="L9" l="1"/>
  <c r="L15" s="1"/>
  <c r="L332"/>
  <c r="E106" l="1"/>
  <c r="J265" l="1"/>
  <c r="J264"/>
  <c r="I265"/>
  <c r="I264"/>
  <c r="I138"/>
  <c r="K138"/>
  <c r="J138"/>
  <c r="K264" l="1"/>
  <c r="L264" s="1"/>
  <c r="K265"/>
  <c r="L265" s="1"/>
  <c r="L138"/>
  <c r="I359" l="1"/>
  <c r="J359"/>
  <c r="G349"/>
  <c r="J344"/>
  <c r="K344"/>
  <c r="G149"/>
  <c r="G261"/>
  <c r="G260"/>
  <c r="K359" l="1"/>
  <c r="L359" s="1"/>
  <c r="L344"/>
  <c r="G66" l="1"/>
  <c r="E318" l="1"/>
  <c r="I334" l="1"/>
  <c r="K334"/>
  <c r="J334"/>
  <c r="L334" l="1"/>
  <c r="I99" l="1"/>
  <c r="J99"/>
  <c r="K99"/>
  <c r="I98"/>
  <c r="K98"/>
  <c r="J98"/>
  <c r="I89"/>
  <c r="J89"/>
  <c r="K89"/>
  <c r="L99" l="1"/>
  <c r="L98"/>
  <c r="E110"/>
  <c r="L89"/>
  <c r="I305" l="1"/>
  <c r="E112"/>
  <c r="E111"/>
  <c r="K261"/>
  <c r="K122"/>
  <c r="I104"/>
  <c r="K104"/>
  <c r="J43"/>
  <c r="A261"/>
  <c r="I122"/>
  <c r="I43"/>
  <c r="I19"/>
  <c r="A262" l="1"/>
  <c r="A263" s="1"/>
  <c r="A264" s="1"/>
  <c r="A265" s="1"/>
  <c r="A356"/>
  <c r="A357" s="1"/>
  <c r="A358" s="1"/>
  <c r="A359" s="1"/>
  <c r="J305"/>
  <c r="K305"/>
  <c r="J104"/>
  <c r="L104" s="1"/>
  <c r="J122"/>
  <c r="L122" s="1"/>
  <c r="J261"/>
  <c r="L261" s="1"/>
  <c r="I261"/>
  <c r="K43"/>
  <c r="L43" s="1"/>
  <c r="A360" l="1"/>
  <c r="A361" s="1"/>
  <c r="A362" s="1"/>
  <c r="A363" s="1"/>
  <c r="A364" s="1"/>
  <c r="A266"/>
  <c r="A267" s="1"/>
  <c r="A48"/>
  <c r="L305"/>
  <c r="A268" l="1"/>
  <c r="A49"/>
  <c r="E113"/>
  <c r="E323" l="1"/>
  <c r="G273" l="1"/>
  <c r="G53"/>
  <c r="K275" l="1"/>
  <c r="E319"/>
  <c r="K319" s="1"/>
  <c r="K273"/>
  <c r="J48"/>
  <c r="K49"/>
  <c r="B40" i="11"/>
  <c r="B39"/>
  <c r="B38"/>
  <c r="B37"/>
  <c r="B36"/>
  <c r="B35"/>
  <c r="B34"/>
  <c r="B33"/>
  <c r="B32"/>
  <c r="B31"/>
  <c r="I347" i="10"/>
  <c r="J347"/>
  <c r="K347"/>
  <c r="K330"/>
  <c r="J329"/>
  <c r="K328"/>
  <c r="J327"/>
  <c r="I311"/>
  <c r="J314"/>
  <c r="K311"/>
  <c r="K310"/>
  <c r="E321"/>
  <c r="K321" s="1"/>
  <c r="K269"/>
  <c r="J268"/>
  <c r="K263"/>
  <c r="J267"/>
  <c r="K260"/>
  <c r="K351"/>
  <c r="J351"/>
  <c r="I351"/>
  <c r="K350"/>
  <c r="J350"/>
  <c r="I350"/>
  <c r="K349"/>
  <c r="I349"/>
  <c r="K348"/>
  <c r="J348"/>
  <c r="I348"/>
  <c r="K346"/>
  <c r="J346"/>
  <c r="I346"/>
  <c r="K345"/>
  <c r="J345"/>
  <c r="I345"/>
  <c r="I344"/>
  <c r="K342"/>
  <c r="J342"/>
  <c r="I342"/>
  <c r="K341"/>
  <c r="J341"/>
  <c r="I341"/>
  <c r="A341"/>
  <c r="A342" s="1"/>
  <c r="A343" s="1"/>
  <c r="A344" s="1"/>
  <c r="A345" s="1"/>
  <c r="K340"/>
  <c r="J340"/>
  <c r="I340"/>
  <c r="K336"/>
  <c r="J336"/>
  <c r="I336"/>
  <c r="K335"/>
  <c r="J335"/>
  <c r="I335"/>
  <c r="K333"/>
  <c r="J333"/>
  <c r="I333"/>
  <c r="K331"/>
  <c r="J331"/>
  <c r="I331"/>
  <c r="I330"/>
  <c r="I329"/>
  <c r="I328"/>
  <c r="A328"/>
  <c r="A329" s="1"/>
  <c r="A330" s="1"/>
  <c r="I327"/>
  <c r="I323"/>
  <c r="I322"/>
  <c r="J322"/>
  <c r="I321"/>
  <c r="I320"/>
  <c r="I319"/>
  <c r="A319"/>
  <c r="A320" s="1"/>
  <c r="A321" s="1"/>
  <c r="A322" s="1"/>
  <c r="I318"/>
  <c r="I314"/>
  <c r="A311"/>
  <c r="A312" s="1"/>
  <c r="A313" s="1"/>
  <c r="A314" s="1"/>
  <c r="I310"/>
  <c r="I306"/>
  <c r="K301"/>
  <c r="J301"/>
  <c r="I301"/>
  <c r="K300"/>
  <c r="J300"/>
  <c r="I300"/>
  <c r="K298"/>
  <c r="J298"/>
  <c r="I298"/>
  <c r="A298"/>
  <c r="K297"/>
  <c r="J297"/>
  <c r="I297"/>
  <c r="I283"/>
  <c r="K282"/>
  <c r="J282"/>
  <c r="I282"/>
  <c r="I281"/>
  <c r="K281"/>
  <c r="I276"/>
  <c r="I275"/>
  <c r="I274"/>
  <c r="A274"/>
  <c r="A275" s="1"/>
  <c r="A276" s="1"/>
  <c r="A277" s="1"/>
  <c r="A278" s="1"/>
  <c r="A279" s="1"/>
  <c r="A280" s="1"/>
  <c r="A281" s="1"/>
  <c r="I273"/>
  <c r="I269"/>
  <c r="I268"/>
  <c r="I267"/>
  <c r="I263"/>
  <c r="I260"/>
  <c r="K143"/>
  <c r="K121"/>
  <c r="K120"/>
  <c r="J119"/>
  <c r="K118"/>
  <c r="J114"/>
  <c r="K70"/>
  <c r="K62"/>
  <c r="K61"/>
  <c r="J60"/>
  <c r="K59"/>
  <c r="J47"/>
  <c r="J42"/>
  <c r="K40"/>
  <c r="K39"/>
  <c r="J38"/>
  <c r="J33"/>
  <c r="K31"/>
  <c r="J27"/>
  <c r="K25"/>
  <c r="K24"/>
  <c r="K23"/>
  <c r="K22"/>
  <c r="K21"/>
  <c r="K19"/>
  <c r="K18"/>
  <c r="I364"/>
  <c r="E364"/>
  <c r="I149"/>
  <c r="I129"/>
  <c r="J129"/>
  <c r="K129"/>
  <c r="K88"/>
  <c r="I53"/>
  <c r="I355"/>
  <c r="J355"/>
  <c r="K355"/>
  <c r="I356"/>
  <c r="J356"/>
  <c r="K356"/>
  <c r="I357"/>
  <c r="J357"/>
  <c r="K357"/>
  <c r="I358"/>
  <c r="J358"/>
  <c r="K358"/>
  <c r="B16" i="11"/>
  <c r="B17"/>
  <c r="B15"/>
  <c r="B14"/>
  <c r="B13"/>
  <c r="B12"/>
  <c r="B11"/>
  <c r="B10"/>
  <c r="B9"/>
  <c r="B8"/>
  <c r="B7"/>
  <c r="I66" i="10"/>
  <c r="I114"/>
  <c r="I113"/>
  <c r="I111"/>
  <c r="I112"/>
  <c r="I110"/>
  <c r="A111"/>
  <c r="A112" s="1"/>
  <c r="A113" s="1"/>
  <c r="A114" s="1"/>
  <c r="A119"/>
  <c r="A120" s="1"/>
  <c r="A121" s="1"/>
  <c r="A122" s="1"/>
  <c r="A123" s="1"/>
  <c r="A134"/>
  <c r="A135" s="1"/>
  <c r="A136" s="1"/>
  <c r="I39"/>
  <c r="I47"/>
  <c r="I33"/>
  <c r="I38"/>
  <c r="I26"/>
  <c r="I27"/>
  <c r="J71"/>
  <c r="K71"/>
  <c r="J72"/>
  <c r="K72"/>
  <c r="J85"/>
  <c r="K85"/>
  <c r="J86"/>
  <c r="K86"/>
  <c r="J100"/>
  <c r="K100"/>
  <c r="J123"/>
  <c r="K123"/>
  <c r="J124"/>
  <c r="K124"/>
  <c r="J125"/>
  <c r="K125"/>
  <c r="J126"/>
  <c r="K126"/>
  <c r="J127"/>
  <c r="K127"/>
  <c r="J128"/>
  <c r="K128"/>
  <c r="J133"/>
  <c r="K133"/>
  <c r="J134"/>
  <c r="K134"/>
  <c r="J135"/>
  <c r="K135"/>
  <c r="J136"/>
  <c r="K136"/>
  <c r="J137"/>
  <c r="K137"/>
  <c r="J140"/>
  <c r="K140"/>
  <c r="J141"/>
  <c r="K141"/>
  <c r="J142"/>
  <c r="K142"/>
  <c r="J144"/>
  <c r="K144"/>
  <c r="J145"/>
  <c r="K145"/>
  <c r="J146"/>
  <c r="K146"/>
  <c r="J147"/>
  <c r="K147"/>
  <c r="J148"/>
  <c r="K148"/>
  <c r="K149"/>
  <c r="I18"/>
  <c r="I21"/>
  <c r="I22"/>
  <c r="I23"/>
  <c r="I24"/>
  <c r="I25"/>
  <c r="I31"/>
  <c r="I40"/>
  <c r="I42"/>
  <c r="I48"/>
  <c r="I49"/>
  <c r="I54"/>
  <c r="I55"/>
  <c r="I56"/>
  <c r="I59"/>
  <c r="I60"/>
  <c r="I61"/>
  <c r="I62"/>
  <c r="I70"/>
  <c r="I71"/>
  <c r="I72"/>
  <c r="I85"/>
  <c r="I86"/>
  <c r="I88"/>
  <c r="I100"/>
  <c r="I106"/>
  <c r="I118"/>
  <c r="I119"/>
  <c r="I120"/>
  <c r="I121"/>
  <c r="I123"/>
  <c r="I124"/>
  <c r="I125"/>
  <c r="I126"/>
  <c r="I127"/>
  <c r="I128"/>
  <c r="I133"/>
  <c r="I134"/>
  <c r="I135"/>
  <c r="I136"/>
  <c r="I137"/>
  <c r="I140"/>
  <c r="I141"/>
  <c r="I142"/>
  <c r="I143"/>
  <c r="I144"/>
  <c r="I145"/>
  <c r="I146"/>
  <c r="I147"/>
  <c r="I148"/>
  <c r="A86"/>
  <c r="A71"/>
  <c r="A72" s="1"/>
  <c r="A54"/>
  <c r="A55" s="1"/>
  <c r="A56" s="1"/>
  <c r="A57" s="1"/>
  <c r="A58" s="1"/>
  <c r="A59" s="1"/>
  <c r="A19"/>
  <c r="A20" s="1"/>
  <c r="A21" s="1"/>
  <c r="A331" l="1"/>
  <c r="A332" s="1"/>
  <c r="A333" s="1"/>
  <c r="A334" s="1"/>
  <c r="A335" s="1"/>
  <c r="A336" s="1"/>
  <c r="A73"/>
  <c r="A74" s="1"/>
  <c r="A75" s="1"/>
  <c r="A22"/>
  <c r="A23" s="1"/>
  <c r="A24" s="1"/>
  <c r="A25" s="1"/>
  <c r="A26" s="1"/>
  <c r="A323"/>
  <c r="A299"/>
  <c r="A300" s="1"/>
  <c r="A301" s="1"/>
  <c r="A87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K364"/>
  <c r="J364"/>
  <c r="A60"/>
  <c r="A61" s="1"/>
  <c r="A62" s="1"/>
  <c r="A63" s="1"/>
  <c r="A64" s="1"/>
  <c r="A65" s="1"/>
  <c r="A269"/>
  <c r="A137"/>
  <c r="A124"/>
  <c r="A125" s="1"/>
  <c r="A126" s="1"/>
  <c r="A127" s="1"/>
  <c r="L347"/>
  <c r="K267"/>
  <c r="L267" s="1"/>
  <c r="L331"/>
  <c r="L346"/>
  <c r="K274"/>
  <c r="J274"/>
  <c r="K322"/>
  <c r="L322" s="1"/>
  <c r="L336"/>
  <c r="J330"/>
  <c r="L330" s="1"/>
  <c r="L335"/>
  <c r="L350"/>
  <c r="L342"/>
  <c r="K268"/>
  <c r="L268" s="1"/>
  <c r="J310"/>
  <c r="J311"/>
  <c r="L311" s="1"/>
  <c r="K314"/>
  <c r="L314" s="1"/>
  <c r="L341"/>
  <c r="J260"/>
  <c r="L260" s="1"/>
  <c r="L345"/>
  <c r="L282"/>
  <c r="L297"/>
  <c r="L298"/>
  <c r="L333"/>
  <c r="J269"/>
  <c r="L269" s="1"/>
  <c r="L300"/>
  <c r="L301"/>
  <c r="K323"/>
  <c r="K327"/>
  <c r="J328"/>
  <c r="K329"/>
  <c r="L329" s="1"/>
  <c r="L348"/>
  <c r="L351"/>
  <c r="J263"/>
  <c r="L263" s="1"/>
  <c r="J273"/>
  <c r="J275"/>
  <c r="L275" s="1"/>
  <c r="J281"/>
  <c r="L281" s="1"/>
  <c r="J319"/>
  <c r="L319" s="1"/>
  <c r="E320"/>
  <c r="J321"/>
  <c r="L321" s="1"/>
  <c r="J349"/>
  <c r="L349" s="1"/>
  <c r="L340"/>
  <c r="J143"/>
  <c r="L143" s="1"/>
  <c r="K114"/>
  <c r="L114" s="1"/>
  <c r="J88"/>
  <c r="J149"/>
  <c r="L129"/>
  <c r="K56"/>
  <c r="L358"/>
  <c r="L355"/>
  <c r="L357"/>
  <c r="L356"/>
  <c r="J112"/>
  <c r="K112"/>
  <c r="K47"/>
  <c r="L47" s="1"/>
  <c r="J39"/>
  <c r="L39" s="1"/>
  <c r="J53"/>
  <c r="K33"/>
  <c r="L33" s="1"/>
  <c r="L123"/>
  <c r="K48"/>
  <c r="L71"/>
  <c r="J59"/>
  <c r="L59" s="1"/>
  <c r="J62"/>
  <c r="L62" s="1"/>
  <c r="K119"/>
  <c r="K60"/>
  <c r="L60" s="1"/>
  <c r="K53"/>
  <c r="J22"/>
  <c r="L22" s="1"/>
  <c r="J70"/>
  <c r="J54"/>
  <c r="K42"/>
  <c r="L42" s="1"/>
  <c r="L147"/>
  <c r="L134"/>
  <c r="K55"/>
  <c r="J31"/>
  <c r="K38"/>
  <c r="L38" s="1"/>
  <c r="L133"/>
  <c r="J121"/>
  <c r="L121" s="1"/>
  <c r="J24"/>
  <c r="L24" s="1"/>
  <c r="L145"/>
  <c r="L141"/>
  <c r="L127"/>
  <c r="L85"/>
  <c r="J61"/>
  <c r="L61" s="1"/>
  <c r="J49"/>
  <c r="L49" s="1"/>
  <c r="L146"/>
  <c r="J120"/>
  <c r="L120" s="1"/>
  <c r="J118"/>
  <c r="K54"/>
  <c r="J40"/>
  <c r="L40" s="1"/>
  <c r="J25"/>
  <c r="L25" s="1"/>
  <c r="J23"/>
  <c r="L23" s="1"/>
  <c r="J21"/>
  <c r="L21" s="1"/>
  <c r="J55"/>
  <c r="K27"/>
  <c r="L27" s="1"/>
  <c r="J19"/>
  <c r="L19" s="1"/>
  <c r="J18"/>
  <c r="L126"/>
  <c r="L148"/>
  <c r="L142"/>
  <c r="L137"/>
  <c r="L135"/>
  <c r="L100"/>
  <c r="L72"/>
  <c r="L140"/>
  <c r="L125"/>
  <c r="L144"/>
  <c r="L136"/>
  <c r="L128"/>
  <c r="L124"/>
  <c r="L86"/>
  <c r="L352" l="1"/>
  <c r="E40" i="11" s="1"/>
  <c r="L302" i="10"/>
  <c r="E35" i="11" s="1"/>
  <c r="A76" i="10"/>
  <c r="A77" s="1"/>
  <c r="A78" s="1"/>
  <c r="A79" s="1"/>
  <c r="A80" s="1"/>
  <c r="A81" s="1"/>
  <c r="L270"/>
  <c r="A128"/>
  <c r="A129" s="1"/>
  <c r="A138"/>
  <c r="A139" s="1"/>
  <c r="A140" s="1"/>
  <c r="A141" s="1"/>
  <c r="A66"/>
  <c r="L364"/>
  <c r="L365" s="1"/>
  <c r="A346"/>
  <c r="A347" s="1"/>
  <c r="A348" s="1"/>
  <c r="A349" s="1"/>
  <c r="A350" s="1"/>
  <c r="A351" s="1"/>
  <c r="A27"/>
  <c r="L327"/>
  <c r="K283"/>
  <c r="K306"/>
  <c r="J283"/>
  <c r="L274"/>
  <c r="L310"/>
  <c r="L315" s="1"/>
  <c r="L328"/>
  <c r="J323"/>
  <c r="L323" s="1"/>
  <c r="K320"/>
  <c r="J320"/>
  <c r="K276"/>
  <c r="J276"/>
  <c r="L273"/>
  <c r="L119"/>
  <c r="L88"/>
  <c r="L101" s="1"/>
  <c r="J110"/>
  <c r="L48"/>
  <c r="K106"/>
  <c r="L149"/>
  <c r="L150" s="1"/>
  <c r="L118"/>
  <c r="J56"/>
  <c r="L56" s="1"/>
  <c r="L112"/>
  <c r="K111"/>
  <c r="J111"/>
  <c r="K113"/>
  <c r="J113"/>
  <c r="L70"/>
  <c r="L82" s="1"/>
  <c r="L31"/>
  <c r="L53"/>
  <c r="L54"/>
  <c r="L55"/>
  <c r="J26"/>
  <c r="K26"/>
  <c r="J66"/>
  <c r="K66"/>
  <c r="L18"/>
  <c r="L130" l="1"/>
  <c r="L337"/>
  <c r="E39" i="11" s="1"/>
  <c r="L50" i="10"/>
  <c r="E10" i="11" s="1"/>
  <c r="E44"/>
  <c r="A282" i="10"/>
  <c r="A283" s="1"/>
  <c r="E16" i="11"/>
  <c r="A142" i="10"/>
  <c r="A143" s="1"/>
  <c r="A144" s="1"/>
  <c r="A145" s="1"/>
  <c r="A146" s="1"/>
  <c r="A147" s="1"/>
  <c r="A148" s="1"/>
  <c r="A149" s="1"/>
  <c r="E13" i="11"/>
  <c r="E37"/>
  <c r="E12"/>
  <c r="E34"/>
  <c r="E8"/>
  <c r="J306" i="10"/>
  <c r="L283"/>
  <c r="E32" i="11"/>
  <c r="L320" i="10"/>
  <c r="K318"/>
  <c r="J318"/>
  <c r="L276"/>
  <c r="E17" i="11"/>
  <c r="K110" i="10"/>
  <c r="J106"/>
  <c r="L106" s="1"/>
  <c r="L107" s="1"/>
  <c r="L113"/>
  <c r="L111"/>
  <c r="L26"/>
  <c r="L28" s="1"/>
  <c r="L66"/>
  <c r="L67" s="1"/>
  <c r="L284" l="1"/>
  <c r="E33" i="11" s="1"/>
  <c r="E9"/>
  <c r="L306" i="10"/>
  <c r="L307" s="1"/>
  <c r="L318"/>
  <c r="L324" s="1"/>
  <c r="L110"/>
  <c r="L115" s="1"/>
  <c r="E14" i="11"/>
  <c r="E11"/>
  <c r="E15" l="1"/>
  <c r="E18" s="1"/>
  <c r="E38"/>
  <c r="E36"/>
  <c r="E41" l="1"/>
  <c r="E47" l="1"/>
  <c r="E48" s="1"/>
</calcChain>
</file>

<file path=xl/sharedStrings.xml><?xml version="1.0" encoding="utf-8"?>
<sst xmlns="http://schemas.openxmlformats.org/spreadsheetml/2006/main" count="680" uniqueCount="235">
  <si>
    <t>NO</t>
  </si>
  <si>
    <t>URAIAN PEKERJAAN</t>
  </si>
  <si>
    <t>I</t>
  </si>
  <si>
    <t>PEKERJAAN PERSIAPAN</t>
  </si>
  <si>
    <t>II</t>
  </si>
  <si>
    <t>PEKERJAAN TANAH + PONDASI</t>
  </si>
  <si>
    <t>Pek. Urugan pasir bawah pondasi</t>
  </si>
  <si>
    <t>Pek. Urugan pasir bawah lantai</t>
  </si>
  <si>
    <t>III</t>
  </si>
  <si>
    <t>PEKERJAAN BETON</t>
  </si>
  <si>
    <t>IV</t>
  </si>
  <si>
    <t>V</t>
  </si>
  <si>
    <t>VI</t>
  </si>
  <si>
    <t>PEKERJAAN KUSEN, JENDELA &amp; PINTU</t>
  </si>
  <si>
    <t>IX</t>
  </si>
  <si>
    <t>PEKERJAAN SANITAIR</t>
  </si>
  <si>
    <t>Pek. Pasang floor drain</t>
  </si>
  <si>
    <t>Pek. Pasang tempat sabun</t>
  </si>
  <si>
    <t>Pek. Pasang instalasi titik lampu</t>
  </si>
  <si>
    <t>Pek. Pasang instalasi titik stop kontak</t>
  </si>
  <si>
    <t xml:space="preserve">Pek. Pasang instalasi titik stop kontak AC </t>
  </si>
  <si>
    <t>m1</t>
  </si>
  <si>
    <t>m2</t>
  </si>
  <si>
    <t>m3</t>
  </si>
  <si>
    <t>bh</t>
  </si>
  <si>
    <t>ttk</t>
  </si>
  <si>
    <t>Pek. Galian pondasi menerus</t>
  </si>
  <si>
    <t xml:space="preserve">Pek. Acian dinding </t>
  </si>
  <si>
    <t xml:space="preserve">Pek. Pasang saklar </t>
  </si>
  <si>
    <t xml:space="preserve">Pas. Stop kontak </t>
  </si>
  <si>
    <t>Pas. stop kontak AC</t>
  </si>
  <si>
    <t>Beton tangga</t>
  </si>
  <si>
    <t>unit</t>
  </si>
  <si>
    <t xml:space="preserve">PEKERJAAN PLAFOND </t>
  </si>
  <si>
    <t>PEKERJAAN M &amp; E</t>
  </si>
  <si>
    <t>PEKERJAAN ATAP</t>
  </si>
  <si>
    <t>VII</t>
  </si>
  <si>
    <t>VIII</t>
  </si>
  <si>
    <t>Head shower ONDA (SO 255 PW)</t>
  </si>
  <si>
    <t>Pek. Pasang lampu down light 11 watt</t>
  </si>
  <si>
    <t>Pas. Wastafel by Ivory 745</t>
  </si>
  <si>
    <t>Penangkal petir</t>
  </si>
  <si>
    <t>MCB</t>
  </si>
  <si>
    <t>PEKERJAAN</t>
  </si>
  <si>
    <t>:</t>
  </si>
  <si>
    <t>OWNER</t>
  </si>
  <si>
    <t>LOKASI</t>
  </si>
  <si>
    <t>VOLUME</t>
  </si>
  <si>
    <t>JUMLAH</t>
  </si>
  <si>
    <t>(Rp)</t>
  </si>
  <si>
    <t>REKAPITULASI RENCANA ANGGARAN BIAYA</t>
  </si>
  <si>
    <t>Instalasi tv</t>
  </si>
  <si>
    <t>Unit</t>
  </si>
  <si>
    <t>PEKERJAAN PENGGANTUNG DAN KUNCI</t>
  </si>
  <si>
    <t>psg</t>
  </si>
  <si>
    <t>X</t>
  </si>
  <si>
    <t>Box MCB</t>
  </si>
  <si>
    <t>RENCANA ANGGARAN BIAYA</t>
  </si>
  <si>
    <t>Sumur bor lengkap dengan mesinnya</t>
  </si>
  <si>
    <t>Pek. Pasang instalasi air kotor 4'' AW</t>
  </si>
  <si>
    <t>Pek. Pasang instalasi air bersih 1/2'' AW</t>
  </si>
  <si>
    <t xml:space="preserve">Pek. Pasang lampu wall light </t>
  </si>
  <si>
    <t>Pasangan Anslet + arthe</t>
  </si>
  <si>
    <t>Waterproofing talang, dinding dan lantai Kamar mandi</t>
  </si>
  <si>
    <t>Ls</t>
  </si>
  <si>
    <t>Pek. Pasang roof drain</t>
  </si>
  <si>
    <t xml:space="preserve">Pek. Pasang batu kosong </t>
  </si>
  <si>
    <t xml:space="preserve">Pek. Pasang pondasi batu kali </t>
  </si>
  <si>
    <t>Instalasi telepon</t>
  </si>
  <si>
    <t>Pek. Pasang Exhouse Fan</t>
  </si>
  <si>
    <t>Anti Rayap</t>
  </si>
  <si>
    <t>Pek. Pasang sink Dapur</t>
  </si>
  <si>
    <t>Pek. Pasang instalasi air kotor 3'' AW</t>
  </si>
  <si>
    <t>Pek. Pasang instalasi air bersih 1'' AW</t>
  </si>
  <si>
    <t>DIBULATKAN</t>
  </si>
  <si>
    <t>Material + Upah</t>
  </si>
  <si>
    <t>Jumlah Material + Upah</t>
  </si>
  <si>
    <t>Haga Satuan Material</t>
  </si>
  <si>
    <t xml:space="preserve"> Harga Satuan Upah</t>
  </si>
  <si>
    <t>Jumlah Harga Material</t>
  </si>
  <si>
    <t>Jumlah Harga Upah</t>
  </si>
  <si>
    <t>Listrik kerja (By Owner)</t>
  </si>
  <si>
    <t>Air kerja (By Owner)</t>
  </si>
  <si>
    <t>Uitzet / Bowplank</t>
  </si>
  <si>
    <t>Pek. Urugan peninggian lantai area building t.50 cm (limestone)</t>
  </si>
  <si>
    <t>Perataan dan Pemadatan</t>
  </si>
  <si>
    <t>Urugan Tanah Kembali bekas galian</t>
  </si>
  <si>
    <t>Beton plat lantai</t>
  </si>
  <si>
    <t>Beton Rabat + wire mesh M7</t>
  </si>
  <si>
    <t xml:space="preserve">PEKERJAAN PASANGAN DINDING, LANTAI, PLESTERAN DAN ACIAN </t>
  </si>
  <si>
    <t>Benangan, sudutan dan tali air</t>
  </si>
  <si>
    <t>Handle pintu Solid</t>
  </si>
  <si>
    <t>Kunci pintu Solid</t>
  </si>
  <si>
    <t>Kait angin Solid</t>
  </si>
  <si>
    <t>Grendel Jendela Solid</t>
  </si>
  <si>
    <t>Door stoper Solid</t>
  </si>
  <si>
    <t>PEKERJAAN FINISHING</t>
  </si>
  <si>
    <t>Polituran Kusen</t>
  </si>
  <si>
    <t xml:space="preserve">Cat dinding dalam ex. dulux </t>
  </si>
  <si>
    <t>Cat dinding luar ex. dulux weathersield</t>
  </si>
  <si>
    <t>Cat plafond ex. Vinilex</t>
  </si>
  <si>
    <t>Polituran daun pintu dan jendela</t>
  </si>
  <si>
    <t>Benangan dan sudutan dan tali air</t>
  </si>
  <si>
    <t>Polituran List Plank</t>
  </si>
  <si>
    <t>PEKERJAAN LAIN-LAIN</t>
  </si>
  <si>
    <t>Drainase (saluran dari belakang ke saluran depan) buis beton diameter 20 cm</t>
  </si>
  <si>
    <t>Bak kontrol 40x40x50 cm</t>
  </si>
  <si>
    <t>Bak peresapan buis beton diameter 60 cm</t>
  </si>
  <si>
    <t>JUMLAH I</t>
  </si>
  <si>
    <t>JUMLAH II</t>
  </si>
  <si>
    <t>No</t>
  </si>
  <si>
    <t>Septictank dan peresapan</t>
  </si>
  <si>
    <t>LANTAI DASAR</t>
  </si>
  <si>
    <t>Pek. Pasang Kran Taman / kebun</t>
  </si>
  <si>
    <t>Stop Kran</t>
  </si>
  <si>
    <t>Pek. Pasang floor drain toto</t>
  </si>
  <si>
    <t>Tanaman dan Rumput Halaman</t>
  </si>
  <si>
    <t>LANTAI  1</t>
  </si>
  <si>
    <t>Genteng Duco</t>
  </si>
  <si>
    <t>Exhuose Fan</t>
  </si>
  <si>
    <t>Beton Lantai kerja foot plat</t>
  </si>
  <si>
    <t>Pasang list plafon</t>
  </si>
  <si>
    <t xml:space="preserve">Pasang list gypsum </t>
  </si>
  <si>
    <t>JUMLAH III</t>
  </si>
  <si>
    <t>Pek. Pasang instalasi air panas</t>
  </si>
  <si>
    <t>Sambungan Listrik baru daya 3500 watt</t>
  </si>
  <si>
    <t>Pek. Pasang instalasi panas</t>
  </si>
  <si>
    <t xml:space="preserve">Beton meja dapur </t>
  </si>
  <si>
    <t>Kait angin jendela</t>
  </si>
  <si>
    <t>Beton plat atap dan topian</t>
  </si>
  <si>
    <t>Direksi Keet, Bedeng tenaga dan gudang material</t>
  </si>
  <si>
    <t>Engsel pintu uk. 5" Solid</t>
  </si>
  <si>
    <t>Engsel Jendela uk. 4" Solid</t>
  </si>
  <si>
    <t>Engsel jendela uk.4" Solid</t>
  </si>
  <si>
    <t xml:space="preserve">Pek. Pasangan dinding  batu bata </t>
  </si>
  <si>
    <t>Pek. Plesteran dinding</t>
  </si>
  <si>
    <t>Keramik Dinding dapur roman 20 x 40 cm</t>
  </si>
  <si>
    <t>Plint skirting granit tilee 10 x 60 cm</t>
  </si>
  <si>
    <t>Pasang plafond Gypsum rangka hollow</t>
  </si>
  <si>
    <t>Keramik Tangga Granite tile 60 x 60 cm</t>
  </si>
  <si>
    <t>Stepnosing tangga 10 x 60 cm</t>
  </si>
  <si>
    <t>Plint skirting Granite tile 10 x 60 cm</t>
  </si>
  <si>
    <t>Badan Kunci (body) Solid</t>
  </si>
  <si>
    <t>Bubungan Duco</t>
  </si>
  <si>
    <t>Pek. Pasang lampu Garden Light</t>
  </si>
  <si>
    <t>Rangka atap baja ringan profil C</t>
  </si>
  <si>
    <t>Pek. Pasang kloset duduk ToTo W421 + jet washer</t>
  </si>
  <si>
    <t>Keramik Meja dapur nero granit black</t>
  </si>
  <si>
    <t>Kusen Kayu Bengkirai 5/14</t>
  </si>
  <si>
    <t>Pintu D1 Panel Bengkirai</t>
  </si>
  <si>
    <t>Pintu D4 Panel Bengkirai</t>
  </si>
  <si>
    <t xml:space="preserve">Jendela kaca W1 Frame kaca </t>
  </si>
  <si>
    <t xml:space="preserve">Jendela kaca W3 Frame kaca </t>
  </si>
  <si>
    <t>MCB merin Gerin</t>
  </si>
  <si>
    <t>Pintu D2 Panel Bengkirai</t>
  </si>
  <si>
    <t>Beton kolom bawah sloof 30/30</t>
  </si>
  <si>
    <t>Beton kolom bawah sloof 15/50</t>
  </si>
  <si>
    <t>Beton kolom C2. 15/50</t>
  </si>
  <si>
    <t>Beton kolom C3. 15/40</t>
  </si>
  <si>
    <t>Beton kolom CP. 15/15</t>
  </si>
  <si>
    <t>Beton balok Praktis 14/14 atas kusen</t>
  </si>
  <si>
    <t>Keramik Dinding Bath Room Granite Tile 30 x 60 cm</t>
  </si>
  <si>
    <t>Keramik Lantai Bath Room Granite Tile 30 x 30 cm anti slip</t>
  </si>
  <si>
    <t>Lantai Carport dan depan teras depan Paving stone  20 x 20 x 6 cm</t>
  </si>
  <si>
    <t>Pintu D3 Panel Bengkirai</t>
  </si>
  <si>
    <t>Jendela kaca W1 Kaca Mati</t>
  </si>
  <si>
    <t>Jendela kaca W2 Kaca Mati</t>
  </si>
  <si>
    <t>Beton Balok praktis 14/14 atas kusen</t>
  </si>
  <si>
    <t>List Plank Kalsiplank + Talang zincalume</t>
  </si>
  <si>
    <t>Keramik Lantai Master Bed Room Granite tile 60 x 60 cm</t>
  </si>
  <si>
    <t>Keramik Lantai  Bed Room 1 dan 2 Granite tile 60 x 60 cm</t>
  </si>
  <si>
    <t>Keramik Lantai Dry and loundry Area Granite tile 30 x 30 cm anti slip</t>
  </si>
  <si>
    <t xml:space="preserve">Pagar depan dan samping </t>
  </si>
  <si>
    <t>Pasangan batu Palimanan</t>
  </si>
  <si>
    <t>RUMAH TINGGAL 3 LANTAI</t>
  </si>
  <si>
    <t>BAPAK VISNU ADHI</t>
  </si>
  <si>
    <t>Pek. Galian Foot plat F1 120 x 120 cm</t>
  </si>
  <si>
    <t>Pek. Galian Foot plat F2 120 x 120 cm</t>
  </si>
  <si>
    <t>Beton Foot Plat F1 120 x 120 cm</t>
  </si>
  <si>
    <t>Beton Foot Plat F2 120 x 120 cm</t>
  </si>
  <si>
    <t>Beton kolom bawah sloof 25/50</t>
  </si>
  <si>
    <t>Beton kolom bawah sloof 15/45</t>
  </si>
  <si>
    <t>Beton kolom bawah sloof 15/35</t>
  </si>
  <si>
    <t>Beton sloof S1. 15/35</t>
  </si>
  <si>
    <t>Beton kolom C1. 25/50</t>
  </si>
  <si>
    <t>Beton kolom C2 15/50</t>
  </si>
  <si>
    <t>Beton kolom C3 15/45</t>
  </si>
  <si>
    <t>Beton kolom C4 30/30</t>
  </si>
  <si>
    <t>Beton kolom C5 15/35</t>
  </si>
  <si>
    <t>Keramik lantai Bed Room Granite tile sincere 60 x 60 cm</t>
  </si>
  <si>
    <t>Keramik lantai Dapur, R. Makan, R. Keluarga, R. Tamu dan gudang Granite tile 60 x 60 cm</t>
  </si>
  <si>
    <t>Keramik Lantai Teras Depan Granite tile 60 x 60 cm</t>
  </si>
  <si>
    <t>Lantai deck kayu bengkirai teras belakang uk. 120 x 9 x 1,5 cm</t>
  </si>
  <si>
    <t>Pintu D5 Frame Bengkirai kaca (Folding)</t>
  </si>
  <si>
    <t>Pintu DW1 Panel</t>
  </si>
  <si>
    <t xml:space="preserve">Jendela DW1 Frame kaca </t>
  </si>
  <si>
    <t>Pintu Sliding SD.1 Frame Bengkirai kaca tempered</t>
  </si>
  <si>
    <t>Rel pintu Sliding handerson</t>
  </si>
  <si>
    <t>Handle pintu sliding Paloma</t>
  </si>
  <si>
    <t>Kunci pintu sliding Paloma</t>
  </si>
  <si>
    <t>Rel pintu Folding Paloma</t>
  </si>
  <si>
    <t>Handle pintu Folding Paloma</t>
  </si>
  <si>
    <t>Kunci pintu Folding Paloma</t>
  </si>
  <si>
    <t>Grendel tanam pintu sliding Paloma</t>
  </si>
  <si>
    <t>Grendel tanam pintu Folding Paloma</t>
  </si>
  <si>
    <t>Pasang plafond Lambersering</t>
  </si>
  <si>
    <t>Pek. Pasang lampu slang</t>
  </si>
  <si>
    <t>LANTAI  2</t>
  </si>
  <si>
    <t>Beton balok B2.15/40</t>
  </si>
  <si>
    <t>Beton balok B3.15/35</t>
  </si>
  <si>
    <t>Beton balok B1.20/40</t>
  </si>
  <si>
    <t>Keramik Lantai Living Room Granite tile 60 x 60 cm</t>
  </si>
  <si>
    <t>Keramik Lantai Balcon depan Granite tile 60 x 60 cm anti slip</t>
  </si>
  <si>
    <t>Pintu Sliding SD.2 Frame Bengkirai kaca tempered</t>
  </si>
  <si>
    <t>Pintu Sliding SD.3 Frame Bengkirai kaca tempered</t>
  </si>
  <si>
    <t>Pintu Sliding SD.4 Frame Bengkirai kaca tempered</t>
  </si>
  <si>
    <t>Jendela kaca W4 Kaca Mati</t>
  </si>
  <si>
    <t>Jendela kaca W5 Kaca Mati</t>
  </si>
  <si>
    <t>Jendela kaca W6 Kaca Mati</t>
  </si>
  <si>
    <t>Buth Tub Toto</t>
  </si>
  <si>
    <t>Beton balok B4.15/30</t>
  </si>
  <si>
    <t>Keramik Lantai Maid Bed Room Granite tile 60 x 60 cm</t>
  </si>
  <si>
    <t>Pintu D6 Panel Bengkirai</t>
  </si>
  <si>
    <t>Pintu D7 Panel Bengkirai</t>
  </si>
  <si>
    <t>Jendela kaca W7 Kaca Mati</t>
  </si>
  <si>
    <t>Jendela kaca W8 Kaca Mati</t>
  </si>
  <si>
    <t>Jendela kaca W9 Kaca Mati</t>
  </si>
  <si>
    <t>Jendela kaca W10 Kaca Mati</t>
  </si>
  <si>
    <t>Talang zincalume</t>
  </si>
  <si>
    <t xml:space="preserve">Pas. Ralling tangga dan balkon pipa stainless + kaca </t>
  </si>
  <si>
    <t>Pasangan batu travertine</t>
  </si>
  <si>
    <t>Pasangan ornamen Hias</t>
  </si>
  <si>
    <t>Pepalihan</t>
  </si>
  <si>
    <t>JUMLAH IV</t>
  </si>
  <si>
    <t>JUMLAH TOTAL I + II + III + IV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</si>
</sst>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  <numFmt numFmtId="166" formatCode="_(* #,##0.000_);_(* \(#,##0.000\);_(* &quot;-&quot;_);_(@_)"/>
    <numFmt numFmtId="167" formatCode="#,##0;\-#,##0;&quot;-&quot;"/>
    <numFmt numFmtId="168" formatCode="#,##0\ ;\(#,##0\)"/>
    <numFmt numFmtId="169" formatCode="#,##0.00_);\(#,##0.0\)"/>
    <numFmt numFmtId="170" formatCode="_(* #,##0.0000000000_);_(* \(#,##0.0000000000\);_.* \-??_);_.@_)"/>
    <numFmt numFmtId="171" formatCode="#,##0_);[Red]\(#,##0\);;@"/>
    <numFmt numFmtId="172" formatCode="_([$€-2]* #,##0.00_);_([$€-2]* \(#,##0.00\);_([$€-2]* &quot;-&quot;??_)"/>
    <numFmt numFmtId="173" formatCode="0.000%"/>
    <numFmt numFmtId="174" formatCode="0.00_)"/>
    <numFmt numFmtId="175" formatCode="mm/dd/yy"/>
    <numFmt numFmtId="176" formatCode="_-* #,##0_-;\-* #,##0_-;_-* &quot;-&quot;_-;_-@_-"/>
    <numFmt numFmtId="177" formatCode="_-* #,##0.00_-;\-* #,##0.00_-;_-* &quot;-&quot;??_-;_-@_-"/>
    <numFmt numFmtId="178" formatCode="_-&quot;$&quot;* #,##0_-;\-&quot;$&quot;* #,##0_-;_-&quot;$&quot;* &quot;-&quot;_-;_-@_-"/>
    <numFmt numFmtId="179" formatCode="_-&quot;$&quot;* #,##0.00_-;\-&quot;$&quot;* #,##0.00_-;_-&quot;$&quot;* &quot;-&quot;??_-;_-@_-"/>
    <numFmt numFmtId="180" formatCode="&quot;\&quot;#,##0;[Red]&quot;\&quot;&quot;\&quot;\-#,##0"/>
    <numFmt numFmtId="181" formatCode="&quot;\&quot;#,##0.00;[Red]&quot;\&quot;&quot;\&quot;&quot;\&quot;&quot;\&quot;&quot;\&quot;&quot;\&quot;\-#,##0.00"/>
    <numFmt numFmtId="182" formatCode="&quot;\&quot;#,##0.00;[Red]&quot;\&quot;\-#,##0.00"/>
    <numFmt numFmtId="183" formatCode="&quot;\&quot;#,##0;[Red]&quot;\&quot;\-#,##0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u/>
      <sz val="18"/>
      <color indexed="9"/>
      <name val="Tahoma"/>
      <family val="2"/>
    </font>
    <font>
      <sz val="12"/>
      <name val="Tms Rmn"/>
    </font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MS Serif"/>
      <family val="1"/>
    </font>
    <font>
      <sz val="1"/>
      <color indexed="8"/>
      <name val="Courier New"/>
      <family val="3"/>
    </font>
    <font>
      <sz val="10"/>
      <name val="Century Gothic"/>
      <family val="2"/>
    </font>
    <font>
      <sz val="10"/>
      <color indexed="16"/>
      <name val="MS Serif"/>
      <family val="1"/>
    </font>
    <font>
      <sz val="8"/>
      <name val="Arial"/>
      <family val="2"/>
    </font>
    <font>
      <u/>
      <sz val="8.5"/>
      <color theme="10"/>
      <name val="Arial"/>
      <family val="2"/>
    </font>
    <font>
      <sz val="9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b/>
      <i/>
      <u/>
      <sz val="10"/>
      <name val="Arial"/>
      <family val="2"/>
    </font>
    <font>
      <sz val="8"/>
      <name val="Helv"/>
    </font>
    <font>
      <b/>
      <sz val="8"/>
      <color indexed="8"/>
      <name val="Helv"/>
    </font>
    <font>
      <u/>
      <sz val="10"/>
      <color indexed="14"/>
      <name val="COUR"/>
      <family val="3"/>
    </font>
    <font>
      <sz val="12"/>
      <name val="新細明體"/>
      <family val="1"/>
      <charset val="136"/>
    </font>
    <font>
      <sz val="14"/>
      <name val="뼻뮝"/>
      <family val="3"/>
    </font>
    <font>
      <sz val="12"/>
      <name val="뼻뮝"/>
      <family val="3"/>
    </font>
    <font>
      <sz val="12"/>
      <name val="바탕체"/>
      <family val="3"/>
    </font>
    <font>
      <sz val="10"/>
      <name val="굴림체"/>
      <family val="3"/>
    </font>
    <font>
      <sz val="14"/>
      <name val="Arial"/>
      <family val="2"/>
    </font>
    <font>
      <b/>
      <i/>
      <sz val="14"/>
      <name val="Book Antiqua"/>
      <family val="1"/>
    </font>
    <font>
      <sz val="14"/>
      <name val="Book Antiqua"/>
      <family val="1"/>
    </font>
    <font>
      <b/>
      <sz val="14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u/>
      <sz val="12"/>
      <name val="Book Antiqua"/>
      <family val="1"/>
    </font>
    <font>
      <b/>
      <i/>
      <sz val="12"/>
      <name val="Book Antiqua"/>
      <family val="1"/>
    </font>
    <font>
      <u/>
      <sz val="12"/>
      <name val="Book Antiqua"/>
      <family val="1"/>
    </font>
    <font>
      <sz val="12"/>
      <color indexed="8"/>
      <name val="Book Antiqua"/>
      <family val="1"/>
    </font>
    <font>
      <sz val="12"/>
      <color rgb="FFFF0000"/>
      <name val="Book Antiqua"/>
      <family val="1"/>
    </font>
    <font>
      <sz val="12"/>
      <color indexed="10"/>
      <name val="Book Antiqua"/>
      <family val="1"/>
    </font>
    <font>
      <b/>
      <i/>
      <sz val="16"/>
      <name val="Book Antiqua"/>
      <family val="1"/>
    </font>
    <font>
      <b/>
      <sz val="16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4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7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4" borderId="0" applyNumberFormat="0" applyBorder="0" applyAlignment="0"/>
    <xf numFmtId="0" fontId="8" fillId="0" borderId="0" applyFill="0" applyBorder="0">
      <alignment vertical="center"/>
    </xf>
    <xf numFmtId="0" fontId="10" fillId="0" borderId="0" applyNumberFormat="0" applyFill="0" applyBorder="0" applyAlignment="0" applyProtection="0"/>
    <xf numFmtId="167" fontId="11" fillId="0" borderId="0" applyFill="0" applyBorder="0" applyAlignment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>
      <protection locked="0"/>
    </xf>
    <xf numFmtId="0" fontId="14" fillId="0" borderId="0" applyNumberFormat="0" applyAlignment="0">
      <alignment horizontal="left"/>
    </xf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0" fontId="8" fillId="0" borderId="0">
      <protection locked="0"/>
    </xf>
    <xf numFmtId="0" fontId="15" fillId="0" borderId="0">
      <protection locked="0"/>
    </xf>
    <xf numFmtId="0" fontId="8" fillId="0" borderId="0" applyNumberFormat="0">
      <alignment horizontal="center"/>
    </xf>
    <xf numFmtId="171" fontId="16" fillId="0" borderId="0" applyFont="0" applyFill="0" applyBorder="0">
      <alignment horizontal="left" vertical="top" wrapText="1"/>
      <protection locked="0"/>
    </xf>
    <xf numFmtId="0" fontId="17" fillId="0" borderId="0" applyNumberFormat="0" applyAlignment="0">
      <alignment horizontal="left"/>
    </xf>
    <xf numFmtId="172" fontId="8" fillId="0" borderId="0" applyFont="0" applyFill="0" applyBorder="0" applyAlignment="0" applyProtection="0"/>
    <xf numFmtId="0" fontId="13" fillId="0" borderId="0"/>
    <xf numFmtId="0" fontId="8" fillId="0" borderId="0">
      <protection locked="0"/>
    </xf>
    <xf numFmtId="38" fontId="18" fillId="5" borderId="0" applyNumberFormat="0" applyBorder="0" applyAlignment="0" applyProtection="0"/>
    <xf numFmtId="173" fontId="8" fillId="0" borderId="0" applyFill="0" applyBorder="0" applyAlignment="0"/>
    <xf numFmtId="0" fontId="6" fillId="0" borderId="26" applyNumberFormat="0" applyAlignment="0" applyProtection="0">
      <alignment horizontal="left" vertical="center"/>
    </xf>
    <xf numFmtId="0" fontId="6" fillId="0" borderId="27">
      <alignment horizontal="left" vertical="center"/>
    </xf>
    <xf numFmtId="0" fontId="19" fillId="0" borderId="0" applyNumberFormat="0" applyFill="0" applyBorder="0" applyAlignment="0" applyProtection="0">
      <alignment vertical="top"/>
      <protection locked="0"/>
    </xf>
    <xf numFmtId="10" fontId="18" fillId="6" borderId="28" applyNumberFormat="0" applyBorder="0" applyAlignment="0" applyProtection="0"/>
    <xf numFmtId="0" fontId="20" fillId="0" borderId="14">
      <alignment horizontal="center"/>
    </xf>
    <xf numFmtId="0" fontId="20" fillId="0" borderId="29">
      <alignment horizontal="center"/>
    </xf>
    <xf numFmtId="0" fontId="20" fillId="0" borderId="29">
      <alignment horizontal="center"/>
    </xf>
    <xf numFmtId="0" fontId="20" fillId="0" borderId="14">
      <alignment horizontal="center"/>
    </xf>
    <xf numFmtId="37" fontId="21" fillId="0" borderId="0"/>
    <xf numFmtId="174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2" fillId="0" borderId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25" fillId="0" borderId="0" applyNumberFormat="0" applyFill="0" applyBorder="0" applyAlignment="0" applyProtection="0">
      <alignment horizontal="left"/>
    </xf>
    <xf numFmtId="40" fontId="26" fillId="0" borderId="0" applyBorder="0">
      <alignment horizontal="right"/>
    </xf>
    <xf numFmtId="171" fontId="16" fillId="0" borderId="0" applyFont="0">
      <protection locked="0"/>
    </xf>
    <xf numFmtId="171" fontId="16" fillId="0" borderId="0" applyFont="0">
      <alignment horizontal="center"/>
      <protection locked="0"/>
    </xf>
    <xf numFmtId="0" fontId="27" fillId="0" borderId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30" fillId="0" borderId="0"/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32" fillId="0" borderId="0"/>
    <xf numFmtId="0" fontId="28" fillId="0" borderId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8" fillId="0" borderId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 applyFill="0" applyBorder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>
      <protection locked="0"/>
    </xf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>
      <protection locked="0"/>
    </xf>
    <xf numFmtId="0" fontId="3" fillId="0" borderId="0" applyNumberFormat="0">
      <alignment horizontal="center"/>
    </xf>
    <xf numFmtId="172" fontId="3" fillId="0" borderId="0" applyFont="0" applyFill="0" applyBorder="0" applyAlignment="0" applyProtection="0"/>
    <xf numFmtId="0" fontId="3" fillId="0" borderId="0">
      <protection locked="0"/>
    </xf>
    <xf numFmtId="173" fontId="3" fillId="0" borderId="0" applyFill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225">
    <xf numFmtId="0" fontId="0" fillId="0" borderId="0" xfId="0"/>
    <xf numFmtId="0" fontId="5" fillId="3" borderId="0" xfId="0" applyFont="1" applyFill="1"/>
    <xf numFmtId="43" fontId="5" fillId="3" borderId="0" xfId="128" applyFont="1" applyFill="1"/>
    <xf numFmtId="0" fontId="33" fillId="3" borderId="0" xfId="0" applyFont="1" applyFill="1"/>
    <xf numFmtId="0" fontId="6" fillId="3" borderId="0" xfId="0" applyFont="1" applyFill="1"/>
    <xf numFmtId="0" fontId="5" fillId="3" borderId="0" xfId="0" applyFont="1" applyFill="1" applyAlignment="1">
      <alignment vertical="top"/>
    </xf>
    <xf numFmtId="0" fontId="5" fillId="3" borderId="0" xfId="7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43" fontId="5" fillId="3" borderId="0" xfId="0" applyNumberFormat="1" applyFont="1" applyFill="1" applyAlignment="1">
      <alignment vertical="top"/>
    </xf>
    <xf numFmtId="43" fontId="6" fillId="3" borderId="0" xfId="0" applyNumberFormat="1" applyFont="1" applyFill="1" applyAlignment="1">
      <alignment vertical="top"/>
    </xf>
    <xf numFmtId="0" fontId="34" fillId="0" borderId="7" xfId="2" applyFont="1" applyFill="1" applyBorder="1" applyAlignment="1">
      <alignment horizontal="left"/>
    </xf>
    <xf numFmtId="0" fontId="35" fillId="3" borderId="7" xfId="0" applyFont="1" applyFill="1" applyBorder="1"/>
    <xf numFmtId="43" fontId="35" fillId="3" borderId="56" xfId="128" applyFont="1" applyFill="1" applyBorder="1"/>
    <xf numFmtId="0" fontId="36" fillId="0" borderId="57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7" applyFont="1" applyFill="1"/>
    <xf numFmtId="43" fontId="35" fillId="3" borderId="58" xfId="128" applyFont="1" applyFill="1" applyBorder="1"/>
    <xf numFmtId="0" fontId="36" fillId="0" borderId="19" xfId="0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0" fontId="36" fillId="2" borderId="18" xfId="7" applyFont="1" applyFill="1" applyBorder="1"/>
    <xf numFmtId="43" fontId="35" fillId="3" borderId="20" xfId="128" applyFont="1" applyFill="1" applyBorder="1"/>
    <xf numFmtId="43" fontId="37" fillId="2" borderId="49" xfId="9" applyFont="1" applyFill="1" applyBorder="1" applyAlignment="1">
      <alignment horizontal="center" vertical="center" wrapText="1"/>
    </xf>
    <xf numFmtId="43" fontId="37" fillId="2" borderId="50" xfId="9" applyFont="1" applyFill="1" applyBorder="1" applyAlignment="1">
      <alignment horizontal="center" wrapText="1"/>
    </xf>
    <xf numFmtId="0" fontId="37" fillId="3" borderId="12" xfId="0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38" fillId="3" borderId="0" xfId="0" applyFont="1" applyFill="1" applyBorder="1"/>
    <xf numFmtId="43" fontId="38" fillId="3" borderId="13" xfId="128" applyFont="1" applyFill="1" applyBorder="1"/>
    <xf numFmtId="0" fontId="37" fillId="3" borderId="8" xfId="0" applyFont="1" applyFill="1" applyBorder="1" applyAlignment="1">
      <alignment horizontal="center"/>
    </xf>
    <xf numFmtId="0" fontId="37" fillId="3" borderId="1" xfId="0" applyFont="1" applyFill="1" applyBorder="1" applyAlignment="1">
      <alignment vertical="center"/>
    </xf>
    <xf numFmtId="0" fontId="38" fillId="3" borderId="1" xfId="0" applyFont="1" applyFill="1" applyBorder="1" applyAlignment="1">
      <alignment horizontal="center"/>
    </xf>
    <xf numFmtId="0" fontId="38" fillId="3" borderId="1" xfId="0" applyFont="1" applyFill="1" applyBorder="1"/>
    <xf numFmtId="43" fontId="38" fillId="3" borderId="9" xfId="128" applyFont="1" applyFill="1" applyBorder="1"/>
    <xf numFmtId="0" fontId="37" fillId="3" borderId="1" xfId="0" applyFont="1" applyFill="1" applyBorder="1" applyAlignment="1">
      <alignment horizontal="center"/>
    </xf>
    <xf numFmtId="0" fontId="39" fillId="3" borderId="1" xfId="0" applyFont="1" applyFill="1" applyBorder="1" applyAlignment="1">
      <alignment horizontal="left" wrapText="1" indent="1"/>
    </xf>
    <xf numFmtId="0" fontId="39" fillId="3" borderId="1" xfId="0" applyFont="1" applyFill="1" applyBorder="1" applyAlignment="1">
      <alignment horizontal="left" indent="1"/>
    </xf>
    <xf numFmtId="0" fontId="37" fillId="3" borderId="1" xfId="0" applyFont="1" applyFill="1" applyBorder="1" applyAlignment="1">
      <alignment horizontal="center" vertical="top"/>
    </xf>
    <xf numFmtId="0" fontId="37" fillId="3" borderId="1" xfId="0" applyFont="1" applyFill="1" applyBorder="1" applyAlignment="1">
      <alignment horizontal="left" vertical="top" indent="1"/>
    </xf>
    <xf numFmtId="43" fontId="38" fillId="3" borderId="9" xfId="128" applyFont="1" applyFill="1" applyBorder="1" applyAlignment="1">
      <alignment vertical="top"/>
    </xf>
    <xf numFmtId="43" fontId="38" fillId="3" borderId="9" xfId="128" applyFont="1" applyFill="1" applyBorder="1" applyAlignment="1">
      <alignment horizontal="right" vertical="center"/>
    </xf>
    <xf numFmtId="43" fontId="38" fillId="3" borderId="16" xfId="128" applyFont="1" applyFill="1" applyBorder="1" applyAlignment="1">
      <alignment horizontal="right" vertical="top"/>
    </xf>
    <xf numFmtId="0" fontId="40" fillId="3" borderId="1" xfId="0" applyFont="1" applyFill="1" applyBorder="1" applyAlignment="1">
      <alignment horizontal="right" vertical="top" indent="1"/>
    </xf>
    <xf numFmtId="43" fontId="36" fillId="3" borderId="17" xfId="128" applyFont="1" applyFill="1" applyBorder="1" applyAlignment="1">
      <alignment vertical="top"/>
    </xf>
    <xf numFmtId="0" fontId="37" fillId="3" borderId="8" xfId="0" applyFont="1" applyFill="1" applyBorder="1" applyAlignment="1">
      <alignment horizontal="center" vertical="top"/>
    </xf>
    <xf numFmtId="0" fontId="37" fillId="3" borderId="1" xfId="7" applyFont="1" applyFill="1" applyBorder="1" applyAlignment="1">
      <alignment horizontal="left" vertical="top" indent="1"/>
    </xf>
    <xf numFmtId="0" fontId="40" fillId="3" borderId="1" xfId="7" applyFont="1" applyFill="1" applyBorder="1" applyAlignment="1">
      <alignment horizontal="right" vertical="top" indent="1"/>
    </xf>
    <xf numFmtId="43" fontId="38" fillId="3" borderId="17" xfId="128" applyFont="1" applyFill="1" applyBorder="1" applyAlignment="1">
      <alignment vertical="top"/>
    </xf>
    <xf numFmtId="0" fontId="38" fillId="3" borderId="16" xfId="0" applyFont="1" applyFill="1" applyBorder="1" applyAlignment="1">
      <alignment vertical="top"/>
    </xf>
    <xf numFmtId="0" fontId="38" fillId="3" borderId="12" xfId="7" applyFont="1" applyFill="1" applyBorder="1" applyAlignment="1">
      <alignment horizontal="center" vertical="top"/>
    </xf>
    <xf numFmtId="0" fontId="38" fillId="3" borderId="0" xfId="7" applyFont="1" applyFill="1" applyBorder="1" applyAlignment="1">
      <alignment horizontal="center" vertical="top"/>
    </xf>
    <xf numFmtId="0" fontId="38" fillId="3" borderId="0" xfId="7" applyFont="1" applyFill="1" applyBorder="1" applyAlignment="1">
      <alignment horizontal="left" vertical="top" indent="1"/>
    </xf>
    <xf numFmtId="43" fontId="38" fillId="3" borderId="13" xfId="128" applyFont="1" applyFill="1" applyBorder="1" applyAlignment="1">
      <alignment vertical="top"/>
    </xf>
    <xf numFmtId="0" fontId="37" fillId="3" borderId="46" xfId="0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center" vertical="center"/>
    </xf>
    <xf numFmtId="0" fontId="40" fillId="3" borderId="10" xfId="0" applyFont="1" applyFill="1" applyBorder="1" applyAlignment="1">
      <alignment horizontal="right" vertical="center"/>
    </xf>
    <xf numFmtId="43" fontId="36" fillId="3" borderId="11" xfId="128" applyFont="1" applyFill="1" applyBorder="1" applyAlignment="1">
      <alignment vertical="center"/>
    </xf>
    <xf numFmtId="0" fontId="37" fillId="3" borderId="51" xfId="0" applyFont="1" applyFill="1" applyBorder="1" applyAlignment="1">
      <alignment horizontal="center" vertical="center"/>
    </xf>
    <xf numFmtId="0" fontId="37" fillId="3" borderId="52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right" vertical="center"/>
    </xf>
    <xf numFmtId="0" fontId="37" fillId="3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left" vertical="center" indent="1"/>
    </xf>
    <xf numFmtId="43" fontId="37" fillId="3" borderId="0" xfId="128" applyFont="1" applyFill="1" applyBorder="1" applyAlignment="1">
      <alignment vertical="center"/>
    </xf>
    <xf numFmtId="0" fontId="38" fillId="3" borderId="0" xfId="0" applyFont="1" applyFill="1"/>
    <xf numFmtId="43" fontId="38" fillId="3" borderId="0" xfId="128" applyFont="1" applyFill="1"/>
    <xf numFmtId="0" fontId="38" fillId="3" borderId="0" xfId="0" applyFont="1" applyFill="1" applyAlignment="1">
      <alignment horizontal="center"/>
    </xf>
    <xf numFmtId="0" fontId="38" fillId="0" borderId="0" xfId="7" applyFont="1" applyFill="1"/>
    <xf numFmtId="43" fontId="38" fillId="0" borderId="0" xfId="8" applyFont="1" applyFill="1"/>
    <xf numFmtId="0" fontId="38" fillId="0" borderId="0" xfId="7" applyFont="1" applyFill="1" applyAlignment="1">
      <alignment horizontal="center"/>
    </xf>
    <xf numFmtId="0" fontId="37" fillId="0" borderId="0" xfId="7" applyFont="1" applyFill="1"/>
    <xf numFmtId="43" fontId="38" fillId="0" borderId="18" xfId="8" applyFont="1" applyFill="1" applyBorder="1"/>
    <xf numFmtId="0" fontId="38" fillId="0" borderId="18" xfId="7" applyFont="1" applyFill="1" applyBorder="1" applyAlignment="1">
      <alignment horizontal="center"/>
    </xf>
    <xf numFmtId="0" fontId="38" fillId="0" borderId="18" xfId="7" applyFont="1" applyFill="1" applyBorder="1"/>
    <xf numFmtId="43" fontId="37" fillId="0" borderId="34" xfId="9" applyFont="1" applyFill="1" applyBorder="1" applyAlignment="1">
      <alignment horizontal="center" wrapText="1"/>
    </xf>
    <xf numFmtId="0" fontId="37" fillId="0" borderId="34" xfId="7" applyFont="1" applyFill="1" applyBorder="1" applyAlignment="1">
      <alignment horizontal="center" wrapText="1"/>
    </xf>
    <xf numFmtId="43" fontId="37" fillId="0" borderId="37" xfId="9" applyFont="1" applyFill="1" applyBorder="1" applyAlignment="1">
      <alignment horizontal="center" wrapText="1"/>
    </xf>
    <xf numFmtId="0" fontId="38" fillId="0" borderId="40" xfId="7" applyFont="1" applyFill="1" applyBorder="1" applyAlignment="1">
      <alignment horizontal="center"/>
    </xf>
    <xf numFmtId="0" fontId="38" fillId="0" borderId="25" xfId="9" applyNumberFormat="1" applyFont="1" applyFill="1" applyBorder="1" applyAlignment="1">
      <alignment horizontal="left" indent="1"/>
    </xf>
    <xf numFmtId="43" fontId="38" fillId="0" borderId="23" xfId="8" applyFont="1" applyFill="1" applyBorder="1"/>
    <xf numFmtId="0" fontId="38" fillId="0" borderId="23" xfId="7" applyFont="1" applyFill="1" applyBorder="1" applyAlignment="1">
      <alignment horizontal="center"/>
    </xf>
    <xf numFmtId="43" fontId="38" fillId="0" borderId="23" xfId="9" applyFont="1" applyFill="1" applyBorder="1"/>
    <xf numFmtId="0" fontId="38" fillId="0" borderId="1" xfId="7" applyFont="1" applyFill="1" applyBorder="1" applyAlignment="1">
      <alignment horizontal="center"/>
    </xf>
    <xf numFmtId="43" fontId="38" fillId="0" borderId="24" xfId="8" applyFont="1" applyFill="1" applyBorder="1"/>
    <xf numFmtId="0" fontId="38" fillId="0" borderId="24" xfId="7" applyFont="1" applyFill="1" applyBorder="1" applyAlignment="1">
      <alignment horizontal="center"/>
    </xf>
    <xf numFmtId="43" fontId="38" fillId="0" borderId="24" xfId="9" applyFont="1" applyFill="1" applyBorder="1"/>
    <xf numFmtId="43" fontId="38" fillId="0" borderId="33" xfId="9" applyFont="1" applyFill="1" applyBorder="1"/>
    <xf numFmtId="0" fontId="38" fillId="0" borderId="32" xfId="7" applyFont="1" applyFill="1" applyBorder="1" applyAlignment="1">
      <alignment horizontal="center"/>
    </xf>
    <xf numFmtId="0" fontId="41" fillId="0" borderId="33" xfId="7" applyFont="1" applyFill="1" applyBorder="1"/>
    <xf numFmtId="43" fontId="38" fillId="0" borderId="22" xfId="9" applyFont="1" applyFill="1" applyBorder="1"/>
    <xf numFmtId="43" fontId="37" fillId="0" borderId="22" xfId="9" applyFont="1" applyFill="1" applyBorder="1"/>
    <xf numFmtId="43" fontId="38" fillId="0" borderId="31" xfId="9" applyFont="1" applyFill="1" applyBorder="1"/>
    <xf numFmtId="0" fontId="38" fillId="0" borderId="32" xfId="0" quotePrefix="1" applyFont="1" applyFill="1" applyBorder="1" applyAlignment="1">
      <alignment vertical="center"/>
    </xf>
    <xf numFmtId="0" fontId="38" fillId="0" borderId="1" xfId="9" applyNumberFormat="1" applyFont="1" applyFill="1" applyBorder="1" applyAlignment="1">
      <alignment horizontal="left" indent="1"/>
    </xf>
    <xf numFmtId="43" fontId="43" fillId="0" borderId="24" xfId="8" applyFont="1" applyFill="1" applyBorder="1"/>
    <xf numFmtId="0" fontId="37" fillId="0" borderId="1" xfId="7" applyFont="1" applyFill="1" applyBorder="1" applyAlignment="1">
      <alignment horizontal="center"/>
    </xf>
    <xf numFmtId="0" fontId="37" fillId="0" borderId="32" xfId="7" applyFont="1" applyFill="1" applyBorder="1" applyAlignment="1">
      <alignment vertical="center"/>
    </xf>
    <xf numFmtId="43" fontId="38" fillId="0" borderId="24" xfId="0" applyNumberFormat="1" applyFont="1" applyFill="1" applyBorder="1"/>
    <xf numFmtId="0" fontId="38" fillId="0" borderId="0" xfId="9" applyNumberFormat="1" applyFont="1" applyFill="1" applyAlignment="1">
      <alignment horizontal="left" indent="1"/>
    </xf>
    <xf numFmtId="43" fontId="43" fillId="0" borderId="0" xfId="8" applyFont="1" applyFill="1"/>
    <xf numFmtId="43" fontId="38" fillId="0" borderId="0" xfId="9" applyFont="1" applyFill="1"/>
    <xf numFmtId="0" fontId="43" fillId="0" borderId="0" xfId="16" applyFont="1" applyFill="1" applyBorder="1"/>
    <xf numFmtId="166" fontId="38" fillId="0" borderId="0" xfId="11" applyNumberFormat="1" applyFont="1" applyFill="1"/>
    <xf numFmtId="0" fontId="37" fillId="0" borderId="0" xfId="7" applyFont="1" applyFill="1" applyAlignment="1">
      <alignment vertical="center"/>
    </xf>
    <xf numFmtId="0" fontId="37" fillId="0" borderId="0" xfId="13" applyFont="1" applyFill="1"/>
    <xf numFmtId="43" fontId="43" fillId="0" borderId="0" xfId="9" applyFont="1" applyFill="1"/>
    <xf numFmtId="0" fontId="36" fillId="0" borderId="0" xfId="7" applyFont="1" applyFill="1" applyAlignment="1">
      <alignment horizontal="left"/>
    </xf>
    <xf numFmtId="0" fontId="35" fillId="0" borderId="0" xfId="7" applyFont="1" applyFill="1"/>
    <xf numFmtId="0" fontId="36" fillId="0" borderId="18" xfId="7" applyFont="1" applyFill="1" applyBorder="1"/>
    <xf numFmtId="0" fontId="36" fillId="3" borderId="0" xfId="0" applyFont="1" applyFill="1" applyBorder="1" applyAlignment="1">
      <alignment vertical="center"/>
    </xf>
    <xf numFmtId="0" fontId="36" fillId="3" borderId="1" xfId="0" applyFont="1" applyFill="1" applyBorder="1" applyAlignment="1">
      <alignment vertical="center"/>
    </xf>
    <xf numFmtId="0" fontId="38" fillId="3" borderId="8" xfId="0" applyFont="1" applyFill="1" applyBorder="1" applyAlignment="1">
      <alignment horizontal="center"/>
    </xf>
    <xf numFmtId="0" fontId="38" fillId="3" borderId="1" xfId="0" applyFont="1" applyFill="1" applyBorder="1" applyAlignment="1">
      <alignment vertical="center"/>
    </xf>
    <xf numFmtId="0" fontId="38" fillId="3" borderId="8" xfId="0" applyFont="1" applyFill="1" applyBorder="1" applyAlignment="1">
      <alignment horizontal="center" vertical="top"/>
    </xf>
    <xf numFmtId="0" fontId="36" fillId="0" borderId="24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vertical="center"/>
    </xf>
    <xf numFmtId="0" fontId="40" fillId="0" borderId="0" xfId="7" applyFont="1" applyFill="1"/>
    <xf numFmtId="0" fontId="37" fillId="3" borderId="1" xfId="0" applyFont="1" applyFill="1" applyBorder="1" applyAlignment="1">
      <alignment vertical="top"/>
    </xf>
    <xf numFmtId="0" fontId="38" fillId="3" borderId="1" xfId="0" applyFont="1" applyFill="1" applyBorder="1" applyAlignment="1">
      <alignment vertical="top"/>
    </xf>
    <xf numFmtId="43" fontId="6" fillId="3" borderId="0" xfId="0" applyNumberFormat="1" applyFont="1" applyFill="1" applyAlignment="1">
      <alignment vertical="center"/>
    </xf>
    <xf numFmtId="43" fontId="38" fillId="3" borderId="16" xfId="128" applyFont="1" applyFill="1" applyBorder="1" applyAlignment="1">
      <alignment vertical="top"/>
    </xf>
    <xf numFmtId="43" fontId="45" fillId="0" borderId="16" xfId="3" applyFont="1" applyFill="1" applyBorder="1"/>
    <xf numFmtId="0" fontId="34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left" vertical="justify"/>
    </xf>
    <xf numFmtId="0" fontId="45" fillId="0" borderId="55" xfId="2" applyFont="1" applyFill="1" applyBorder="1" applyAlignment="1">
      <alignment horizontal="left"/>
    </xf>
    <xf numFmtId="0" fontId="41" fillId="0" borderId="1" xfId="7" applyFont="1" applyFill="1" applyBorder="1"/>
    <xf numFmtId="43" fontId="38" fillId="0" borderId="43" xfId="9" applyFont="1" applyFill="1" applyBorder="1"/>
    <xf numFmtId="43" fontId="38" fillId="0" borderId="42" xfId="9" applyFont="1" applyFill="1" applyBorder="1"/>
    <xf numFmtId="43" fontId="38" fillId="0" borderId="21" xfId="9" applyFont="1" applyFill="1" applyBorder="1"/>
    <xf numFmtId="43" fontId="38" fillId="0" borderId="44" xfId="9" applyFont="1" applyFill="1" applyBorder="1"/>
    <xf numFmtId="0" fontId="38" fillId="0" borderId="15" xfId="7" applyFont="1" applyFill="1" applyBorder="1" applyAlignment="1">
      <alignment horizontal="center"/>
    </xf>
    <xf numFmtId="0" fontId="41" fillId="0" borderId="44" xfId="7" applyFont="1" applyFill="1" applyBorder="1"/>
    <xf numFmtId="0" fontId="38" fillId="0" borderId="32" xfId="7" applyFont="1" applyFill="1" applyBorder="1" applyAlignment="1">
      <alignment vertical="center"/>
    </xf>
    <xf numFmtId="0" fontId="38" fillId="0" borderId="33" xfId="0" applyFont="1" applyFill="1" applyBorder="1" applyAlignment="1">
      <alignment horizontal="center" vertical="center"/>
    </xf>
    <xf numFmtId="0" fontId="44" fillId="0" borderId="32" xfId="0" applyFont="1" applyFill="1" applyBorder="1"/>
    <xf numFmtId="43" fontId="38" fillId="0" borderId="22" xfId="0" applyNumberFormat="1" applyFont="1" applyFill="1" applyBorder="1"/>
    <xf numFmtId="0" fontId="38" fillId="0" borderId="22" xfId="0" applyFont="1" applyFill="1" applyBorder="1" applyAlignment="1">
      <alignment horizontal="center"/>
    </xf>
    <xf numFmtId="43" fontId="43" fillId="0" borderId="45" xfId="8" applyFont="1" applyFill="1" applyBorder="1"/>
    <xf numFmtId="0" fontId="38" fillId="0" borderId="45" xfId="7" applyFont="1" applyFill="1" applyBorder="1" applyAlignment="1">
      <alignment horizontal="center"/>
    </xf>
    <xf numFmtId="43" fontId="38" fillId="0" borderId="45" xfId="9" applyFont="1" applyFill="1" applyBorder="1"/>
    <xf numFmtId="43" fontId="37" fillId="0" borderId="45" xfId="9" applyFont="1" applyFill="1" applyBorder="1"/>
    <xf numFmtId="43" fontId="38" fillId="0" borderId="22" xfId="8" applyFont="1" applyFill="1" applyBorder="1"/>
    <xf numFmtId="0" fontId="38" fillId="0" borderId="22" xfId="7" applyFont="1" applyFill="1" applyBorder="1" applyAlignment="1">
      <alignment horizontal="center"/>
    </xf>
    <xf numFmtId="43" fontId="43" fillId="0" borderId="22" xfId="8" applyFont="1" applyFill="1" applyBorder="1"/>
    <xf numFmtId="43" fontId="38" fillId="0" borderId="42" xfId="8" applyFont="1" applyFill="1" applyBorder="1"/>
    <xf numFmtId="0" fontId="38" fillId="0" borderId="42" xfId="7" applyFont="1" applyFill="1" applyBorder="1" applyAlignment="1">
      <alignment horizontal="center"/>
    </xf>
    <xf numFmtId="0" fontId="38" fillId="0" borderId="33" xfId="7" applyFont="1" applyFill="1" applyBorder="1"/>
    <xf numFmtId="43" fontId="38" fillId="0" borderId="21" xfId="4" applyNumberFormat="1" applyFont="1" applyFill="1" applyBorder="1"/>
    <xf numFmtId="0" fontId="37" fillId="0" borderId="33" xfId="7" applyFont="1" applyFill="1" applyBorder="1" applyAlignment="1">
      <alignment horizontal="left" indent="1"/>
    </xf>
    <xf numFmtId="0" fontId="38" fillId="0" borderId="24" xfId="544" applyFont="1" applyFill="1" applyBorder="1" applyAlignment="1">
      <alignment horizontal="center" vertical="center"/>
    </xf>
    <xf numFmtId="0" fontId="5" fillId="3" borderId="0" xfId="0" applyFont="1" applyFill="1" applyAlignment="1">
      <alignment vertical="top"/>
    </xf>
    <xf numFmtId="0" fontId="36" fillId="0" borderId="18" xfId="0" applyFont="1" applyFill="1" applyBorder="1" applyAlignment="1">
      <alignment vertical="center"/>
    </xf>
    <xf numFmtId="0" fontId="37" fillId="3" borderId="1" xfId="0" applyFont="1" applyFill="1" applyBorder="1" applyAlignment="1">
      <alignment horizontal="center" vertical="top"/>
    </xf>
    <xf numFmtId="0" fontId="37" fillId="3" borderId="1" xfId="0" applyFont="1" applyFill="1" applyBorder="1" applyAlignment="1">
      <alignment horizontal="left" vertical="top" indent="1"/>
    </xf>
    <xf numFmtId="0" fontId="40" fillId="3" borderId="1" xfId="0" applyFont="1" applyFill="1" applyBorder="1" applyAlignment="1">
      <alignment horizontal="right" vertical="top" indent="1"/>
    </xf>
    <xf numFmtId="0" fontId="37" fillId="3" borderId="8" xfId="0" applyFont="1" applyFill="1" applyBorder="1" applyAlignment="1">
      <alignment horizontal="center" vertical="top"/>
    </xf>
    <xf numFmtId="0" fontId="37" fillId="0" borderId="5" xfId="0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vertical="center"/>
    </xf>
    <xf numFmtId="0" fontId="38" fillId="0" borderId="32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32" xfId="0" applyFont="1" applyFill="1" applyBorder="1"/>
    <xf numFmtId="0" fontId="38" fillId="0" borderId="24" xfId="0" applyFont="1" applyFill="1" applyBorder="1" applyAlignment="1">
      <alignment horizontal="center"/>
    </xf>
    <xf numFmtId="0" fontId="38" fillId="0" borderId="22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41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8" fillId="3" borderId="8" xfId="0" applyFont="1" applyFill="1" applyBorder="1" applyAlignment="1">
      <alignment horizontal="center"/>
    </xf>
    <xf numFmtId="0" fontId="38" fillId="3" borderId="1" xfId="0" applyFont="1" applyFill="1" applyBorder="1" applyAlignment="1">
      <alignment vertical="top"/>
    </xf>
    <xf numFmtId="0" fontId="46" fillId="0" borderId="0" xfId="0" applyFont="1" applyFill="1" applyAlignment="1">
      <alignment horizontal="left"/>
    </xf>
    <xf numFmtId="0" fontId="38" fillId="0" borderId="32" xfId="0" applyFont="1" applyFill="1" applyBorder="1"/>
    <xf numFmtId="0" fontId="38" fillId="0" borderId="42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42" fillId="0" borderId="32" xfId="0" applyFont="1" applyFill="1" applyBorder="1"/>
    <xf numFmtId="0" fontId="38" fillId="0" borderId="42" xfId="0" applyFont="1" applyFill="1" applyBorder="1" applyAlignment="1">
      <alignment horizontal="center"/>
    </xf>
    <xf numFmtId="0" fontId="38" fillId="0" borderId="30" xfId="0" applyFont="1" applyFill="1" applyBorder="1" applyAlignment="1">
      <alignment vertical="center"/>
    </xf>
    <xf numFmtId="0" fontId="38" fillId="0" borderId="21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 vertical="center"/>
    </xf>
    <xf numFmtId="0" fontId="42" fillId="0" borderId="30" xfId="0" applyFont="1" applyFill="1" applyBorder="1" applyAlignment="1">
      <alignment horizontal="left" vertical="center"/>
    </xf>
    <xf numFmtId="0" fontId="42" fillId="0" borderId="32" xfId="0" applyFont="1" applyFill="1" applyBorder="1" applyAlignment="1">
      <alignment horizontal="left" vertical="center"/>
    </xf>
    <xf numFmtId="0" fontId="38" fillId="0" borderId="32" xfId="0" applyFont="1" applyFill="1" applyBorder="1" applyAlignment="1"/>
    <xf numFmtId="0" fontId="38" fillId="0" borderId="24" xfId="545" applyFont="1" applyFill="1" applyBorder="1" applyAlignment="1">
      <alignment horizontal="center"/>
    </xf>
    <xf numFmtId="0" fontId="38" fillId="0" borderId="32" xfId="545" applyFont="1" applyFill="1" applyBorder="1"/>
    <xf numFmtId="0" fontId="38" fillId="0" borderId="32" xfId="544" applyFont="1" applyFill="1" applyBorder="1" applyAlignment="1">
      <alignment vertical="center"/>
    </xf>
    <xf numFmtId="0" fontId="38" fillId="0" borderId="32" xfId="542" applyFont="1" applyFill="1" applyBorder="1" applyAlignment="1">
      <alignment vertical="center"/>
    </xf>
    <xf numFmtId="0" fontId="38" fillId="0" borderId="21" xfId="542" applyFont="1" applyFill="1" applyBorder="1" applyAlignment="1">
      <alignment horizontal="center" vertical="center"/>
    </xf>
    <xf numFmtId="0" fontId="38" fillId="0" borderId="1" xfId="310" applyFont="1" applyFill="1" applyBorder="1" applyAlignment="1">
      <alignment horizontal="center"/>
    </xf>
    <xf numFmtId="43" fontId="38" fillId="0" borderId="24" xfId="312" applyFont="1" applyFill="1" applyBorder="1"/>
    <xf numFmtId="0" fontId="38" fillId="0" borderId="32" xfId="543" applyFont="1" applyFill="1" applyBorder="1" applyAlignment="1">
      <alignment vertical="center"/>
    </xf>
    <xf numFmtId="0" fontId="38" fillId="0" borderId="24" xfId="543" applyFont="1" applyFill="1" applyBorder="1" applyAlignment="1">
      <alignment horizontal="center" vertical="center"/>
    </xf>
    <xf numFmtId="43" fontId="38" fillId="0" borderId="33" xfId="312" applyFont="1" applyFill="1" applyBorder="1"/>
    <xf numFmtId="0" fontId="41" fillId="0" borderId="33" xfId="310" applyFont="1" applyFill="1" applyBorder="1"/>
    <xf numFmtId="43" fontId="38" fillId="0" borderId="24" xfId="1" applyFont="1" applyFill="1" applyBorder="1" applyAlignment="1">
      <alignment vertical="center"/>
    </xf>
    <xf numFmtId="43" fontId="38" fillId="0" borderId="22" xfId="1" applyFont="1" applyFill="1" applyBorder="1" applyAlignment="1">
      <alignment vertical="center"/>
    </xf>
    <xf numFmtId="0" fontId="41" fillId="0" borderId="1" xfId="310" applyFont="1" applyFill="1" applyBorder="1"/>
    <xf numFmtId="43" fontId="38" fillId="0" borderId="42" xfId="1" applyFont="1" applyFill="1" applyBorder="1" applyAlignment="1">
      <alignment vertical="center"/>
    </xf>
    <xf numFmtId="0" fontId="38" fillId="0" borderId="42" xfId="543" applyFont="1" applyFill="1" applyBorder="1" applyAlignment="1">
      <alignment horizontal="center" vertical="center"/>
    </xf>
    <xf numFmtId="43" fontId="38" fillId="0" borderId="43" xfId="312" applyFont="1" applyFill="1" applyBorder="1"/>
    <xf numFmtId="43" fontId="38" fillId="0" borderId="42" xfId="312" applyFont="1" applyFill="1" applyBorder="1"/>
    <xf numFmtId="43" fontId="38" fillId="0" borderId="21" xfId="1" applyFont="1" applyFill="1" applyBorder="1" applyAlignment="1">
      <alignment vertical="center"/>
    </xf>
    <xf numFmtId="0" fontId="38" fillId="0" borderId="15" xfId="310" applyFont="1" applyFill="1" applyBorder="1" applyAlignment="1">
      <alignment horizontal="center"/>
    </xf>
    <xf numFmtId="43" fontId="38" fillId="0" borderId="24" xfId="1" applyFont="1" applyFill="1" applyBorder="1"/>
    <xf numFmtId="43" fontId="38" fillId="0" borderId="42" xfId="1" applyFont="1" applyFill="1" applyBorder="1"/>
    <xf numFmtId="43" fontId="38" fillId="0" borderId="24" xfId="4" applyNumberFormat="1" applyFont="1" applyFill="1" applyBorder="1"/>
    <xf numFmtId="43" fontId="38" fillId="0" borderId="42" xfId="4" applyNumberFormat="1" applyFont="1" applyFill="1" applyBorder="1"/>
    <xf numFmtId="0" fontId="41" fillId="0" borderId="44" xfId="310" applyFont="1" applyFill="1" applyBorder="1"/>
    <xf numFmtId="43" fontId="38" fillId="0" borderId="24" xfId="1" applyFont="1" applyFill="1" applyBorder="1" applyAlignment="1">
      <alignment horizontal="center"/>
    </xf>
    <xf numFmtId="164" fontId="38" fillId="0" borderId="24" xfId="5" applyNumberFormat="1" applyFont="1" applyFill="1" applyBorder="1" applyAlignment="1">
      <alignment horizontal="center" vertical="center"/>
    </xf>
    <xf numFmtId="0" fontId="37" fillId="0" borderId="34" xfId="7" applyFont="1" applyFill="1" applyBorder="1" applyAlignment="1">
      <alignment horizontal="center" vertical="center"/>
    </xf>
    <xf numFmtId="0" fontId="37" fillId="0" borderId="37" xfId="7" applyFont="1" applyFill="1" applyBorder="1" applyAlignment="1">
      <alignment horizontal="center" vertical="center"/>
    </xf>
    <xf numFmtId="43" fontId="37" fillId="0" borderId="34" xfId="9" applyFont="1" applyFill="1" applyBorder="1" applyAlignment="1">
      <alignment horizontal="center" vertical="center"/>
    </xf>
    <xf numFmtId="43" fontId="37" fillId="0" borderId="37" xfId="9" applyFont="1" applyFill="1" applyBorder="1" applyAlignment="1">
      <alignment horizontal="center" vertical="center"/>
    </xf>
    <xf numFmtId="0" fontId="37" fillId="0" borderId="35" xfId="9" applyNumberFormat="1" applyFont="1" applyFill="1" applyBorder="1" applyAlignment="1">
      <alignment horizontal="center" vertical="center"/>
    </xf>
    <xf numFmtId="0" fontId="37" fillId="0" borderId="7" xfId="9" applyNumberFormat="1" applyFont="1" applyFill="1" applyBorder="1" applyAlignment="1">
      <alignment horizontal="center" vertical="center"/>
    </xf>
    <xf numFmtId="0" fontId="37" fillId="0" borderId="36" xfId="9" applyNumberFormat="1" applyFont="1" applyFill="1" applyBorder="1" applyAlignment="1">
      <alignment horizontal="center" vertical="center"/>
    </xf>
    <xf numFmtId="0" fontId="37" fillId="0" borderId="38" xfId="9" applyNumberFormat="1" applyFont="1" applyFill="1" applyBorder="1" applyAlignment="1">
      <alignment horizontal="center" vertical="center"/>
    </xf>
    <xf numFmtId="0" fontId="37" fillId="0" borderId="3" xfId="9" applyNumberFormat="1" applyFont="1" applyFill="1" applyBorder="1" applyAlignment="1">
      <alignment horizontal="center" vertical="center"/>
    </xf>
    <xf numFmtId="0" fontId="37" fillId="0" borderId="39" xfId="9" applyNumberFormat="1" applyFont="1" applyFill="1" applyBorder="1" applyAlignment="1">
      <alignment horizontal="center" vertical="center"/>
    </xf>
    <xf numFmtId="0" fontId="37" fillId="3" borderId="47" xfId="0" applyFont="1" applyFill="1" applyBorder="1" applyAlignment="1">
      <alignment horizontal="center" vertical="center"/>
    </xf>
    <xf numFmtId="0" fontId="37" fillId="3" borderId="48" xfId="0" applyFont="1" applyFill="1" applyBorder="1" applyAlignment="1">
      <alignment horizontal="center" vertical="center"/>
    </xf>
    <xf numFmtId="165" fontId="37" fillId="3" borderId="54" xfId="128" applyNumberFormat="1" applyFont="1" applyFill="1" applyBorder="1" applyAlignment="1">
      <alignment horizontal="center" vertical="center"/>
    </xf>
    <xf numFmtId="165" fontId="37" fillId="3" borderId="7" xfId="128" applyNumberFormat="1" applyFont="1" applyFill="1" applyBorder="1" applyAlignment="1">
      <alignment horizontal="center" vertical="center"/>
    </xf>
    <xf numFmtId="165" fontId="37" fillId="3" borderId="53" xfId="128" applyNumberFormat="1" applyFont="1" applyFill="1" applyBorder="1" applyAlignment="1">
      <alignment horizontal="center" vertical="center"/>
    </xf>
    <xf numFmtId="165" fontId="37" fillId="3" borderId="2" xfId="128" applyNumberFormat="1" applyFont="1" applyFill="1" applyBorder="1" applyAlignment="1">
      <alignment horizontal="center" vertical="center"/>
    </xf>
    <xf numFmtId="165" fontId="37" fillId="3" borderId="3" xfId="128" applyNumberFormat="1" applyFont="1" applyFill="1" applyBorder="1" applyAlignment="1">
      <alignment horizontal="center" vertical="center"/>
    </xf>
    <xf numFmtId="165" fontId="37" fillId="3" borderId="4" xfId="128" applyNumberFormat="1" applyFont="1" applyFill="1" applyBorder="1" applyAlignment="1">
      <alignment horizontal="center" vertical="center"/>
    </xf>
  </cellXfs>
  <cellStyles count="546">
    <cellStyle name="a" xfId="19"/>
    <cellStyle name="Arial10" xfId="20"/>
    <cellStyle name="Arial10 2" xfId="322"/>
    <cellStyle name="Body" xfId="21"/>
    <cellStyle name="Calc Currency (0)" xfId="22"/>
    <cellStyle name="Comma" xfId="1" builtinId="3"/>
    <cellStyle name="Comma  - Style1" xfId="23"/>
    <cellStyle name="Comma  - Style2" xfId="24"/>
    <cellStyle name="Comma  - Style3" xfId="25"/>
    <cellStyle name="Comma  - Style4" xfId="26"/>
    <cellStyle name="Comma  - Style5" xfId="27"/>
    <cellStyle name="Comma  - Style6" xfId="28"/>
    <cellStyle name="Comma  - Style7" xfId="29"/>
    <cellStyle name="Comma  - Style8" xfId="30"/>
    <cellStyle name="Comma [0]" xfId="5" builtinId="6"/>
    <cellStyle name="Comma [0] 2" xfId="4"/>
    <cellStyle name="Comma [0] 2 10" xfId="17"/>
    <cellStyle name="Comma [0] 2 10 2" xfId="320"/>
    <cellStyle name="Comma [0] 2 11" xfId="31"/>
    <cellStyle name="Comma [0] 2 11 2" xfId="323"/>
    <cellStyle name="Comma [0] 2 12" xfId="32"/>
    <cellStyle name="Comma [0] 2 12 2" xfId="324"/>
    <cellStyle name="Comma [0] 2 13" xfId="33"/>
    <cellStyle name="Comma [0] 2 13 2" xfId="325"/>
    <cellStyle name="Comma [0] 2 14" xfId="34"/>
    <cellStyle name="Comma [0] 2 14 2" xfId="326"/>
    <cellStyle name="Comma [0] 2 15" xfId="35"/>
    <cellStyle name="Comma [0] 2 15 2" xfId="327"/>
    <cellStyle name="Comma [0] 2 16" xfId="36"/>
    <cellStyle name="Comma [0] 2 16 2" xfId="328"/>
    <cellStyle name="Comma [0] 2 17" xfId="37"/>
    <cellStyle name="Comma [0] 2 17 2" xfId="329"/>
    <cellStyle name="Comma [0] 2 18" xfId="38"/>
    <cellStyle name="Comma [0] 2 18 2" xfId="330"/>
    <cellStyle name="Comma [0] 2 19" xfId="39"/>
    <cellStyle name="Comma [0] 2 19 2" xfId="331"/>
    <cellStyle name="Comma [0] 2 2" xfId="40"/>
    <cellStyle name="Comma [0] 2 2 10" xfId="41"/>
    <cellStyle name="Comma [0] 2 2 10 2" xfId="333"/>
    <cellStyle name="Comma [0] 2 2 11" xfId="42"/>
    <cellStyle name="Comma [0] 2 2 11 2" xfId="334"/>
    <cellStyle name="Comma [0] 2 2 12" xfId="43"/>
    <cellStyle name="Comma [0] 2 2 12 2" xfId="335"/>
    <cellStyle name="Comma [0] 2 2 13" xfId="44"/>
    <cellStyle name="Comma [0] 2 2 13 2" xfId="336"/>
    <cellStyle name="Comma [0] 2 2 14" xfId="45"/>
    <cellStyle name="Comma [0] 2 2 14 2" xfId="337"/>
    <cellStyle name="Comma [0] 2 2 15" xfId="46"/>
    <cellStyle name="Comma [0] 2 2 15 2" xfId="338"/>
    <cellStyle name="Comma [0] 2 2 16" xfId="47"/>
    <cellStyle name="Comma [0] 2 2 16 2" xfId="339"/>
    <cellStyle name="Comma [0] 2 2 17" xfId="48"/>
    <cellStyle name="Comma [0] 2 2 17 2" xfId="340"/>
    <cellStyle name="Comma [0] 2 2 18" xfId="49"/>
    <cellStyle name="Comma [0] 2 2 18 2" xfId="341"/>
    <cellStyle name="Comma [0] 2 2 19" xfId="50"/>
    <cellStyle name="Comma [0] 2 2 19 2" xfId="342"/>
    <cellStyle name="Comma [0] 2 2 2" xfId="18"/>
    <cellStyle name="Comma [0] 2 2 2 2" xfId="321"/>
    <cellStyle name="Comma [0] 2 2 20" xfId="51"/>
    <cellStyle name="Comma [0] 2 2 20 2" xfId="343"/>
    <cellStyle name="Comma [0] 2 2 21" xfId="52"/>
    <cellStyle name="Comma [0] 2 2 21 2" xfId="344"/>
    <cellStyle name="Comma [0] 2 2 22" xfId="332"/>
    <cellStyle name="Comma [0] 2 2 3" xfId="53"/>
    <cellStyle name="Comma [0] 2 2 3 2" xfId="345"/>
    <cellStyle name="Comma [0] 2 2 4" xfId="54"/>
    <cellStyle name="Comma [0] 2 2 4 2" xfId="346"/>
    <cellStyle name="Comma [0] 2 2 5" xfId="55"/>
    <cellStyle name="Comma [0] 2 2 5 2" xfId="347"/>
    <cellStyle name="Comma [0] 2 2 6" xfId="56"/>
    <cellStyle name="Comma [0] 2 2 6 2" xfId="348"/>
    <cellStyle name="Comma [0] 2 2 7" xfId="57"/>
    <cellStyle name="Comma [0] 2 2 7 2" xfId="349"/>
    <cellStyle name="Comma [0] 2 2 8" xfId="58"/>
    <cellStyle name="Comma [0] 2 2 8 2" xfId="350"/>
    <cellStyle name="Comma [0] 2 2 9" xfId="59"/>
    <cellStyle name="Comma [0] 2 2 9 2" xfId="351"/>
    <cellStyle name="Comma [0] 2 20" xfId="60"/>
    <cellStyle name="Comma [0] 2 20 2" xfId="352"/>
    <cellStyle name="Comma [0] 2 21" xfId="61"/>
    <cellStyle name="Comma [0] 2 21 2" xfId="353"/>
    <cellStyle name="Comma [0] 2 22" xfId="62"/>
    <cellStyle name="Comma [0] 2 22 2" xfId="354"/>
    <cellStyle name="Comma [0] 2 23" xfId="63"/>
    <cellStyle name="Comma [0] 2 23 2" xfId="355"/>
    <cellStyle name="Comma [0] 2 3" xfId="64"/>
    <cellStyle name="Comma [0] 2 3 2" xfId="356"/>
    <cellStyle name="Comma [0] 2 4" xfId="65"/>
    <cellStyle name="Comma [0] 2 4 2" xfId="357"/>
    <cellStyle name="Comma [0] 2 5" xfId="66"/>
    <cellStyle name="Comma [0] 2 5 2" xfId="358"/>
    <cellStyle name="Comma [0] 2 6" xfId="67"/>
    <cellStyle name="Comma [0] 2 6 2" xfId="359"/>
    <cellStyle name="Comma [0] 2 7" xfId="68"/>
    <cellStyle name="Comma [0] 2 7 2" xfId="360"/>
    <cellStyle name="Comma [0] 2 8" xfId="69"/>
    <cellStyle name="Comma [0] 2 8 2" xfId="361"/>
    <cellStyle name="Comma [0] 2 9" xfId="70"/>
    <cellStyle name="Comma [0] 2 9 2" xfId="362"/>
    <cellStyle name="Comma [0] 3" xfId="71"/>
    <cellStyle name="Comma [0] 3 10" xfId="11"/>
    <cellStyle name="Comma [0] 3 10 2" xfId="314"/>
    <cellStyle name="Comma [0] 3 11" xfId="72"/>
    <cellStyle name="Comma [0] 3 11 2" xfId="364"/>
    <cellStyle name="Comma [0] 3 12" xfId="73"/>
    <cellStyle name="Comma [0] 3 12 2" xfId="365"/>
    <cellStyle name="Comma [0] 3 13" xfId="74"/>
    <cellStyle name="Comma [0] 3 13 2" xfId="366"/>
    <cellStyle name="Comma [0] 3 14" xfId="75"/>
    <cellStyle name="Comma [0] 3 14 2" xfId="367"/>
    <cellStyle name="Comma [0] 3 15" xfId="76"/>
    <cellStyle name="Comma [0] 3 15 2" xfId="368"/>
    <cellStyle name="Comma [0] 3 16" xfId="77"/>
    <cellStyle name="Comma [0] 3 16 2" xfId="369"/>
    <cellStyle name="Comma [0] 3 17" xfId="363"/>
    <cellStyle name="Comma [0] 3 2" xfId="78"/>
    <cellStyle name="Comma [0] 3 2 10" xfId="79"/>
    <cellStyle name="Comma [0] 3 2 10 2" xfId="371"/>
    <cellStyle name="Comma [0] 3 2 11" xfId="80"/>
    <cellStyle name="Comma [0] 3 2 11 2" xfId="372"/>
    <cellStyle name="Comma [0] 3 2 12" xfId="81"/>
    <cellStyle name="Comma [0] 3 2 12 2" xfId="373"/>
    <cellStyle name="Comma [0] 3 2 13" xfId="82"/>
    <cellStyle name="Comma [0] 3 2 13 2" xfId="374"/>
    <cellStyle name="Comma [0] 3 2 14" xfId="83"/>
    <cellStyle name="Comma [0] 3 2 14 2" xfId="375"/>
    <cellStyle name="Comma [0] 3 2 15" xfId="84"/>
    <cellStyle name="Comma [0] 3 2 15 2" xfId="376"/>
    <cellStyle name="Comma [0] 3 2 16" xfId="85"/>
    <cellStyle name="Comma [0] 3 2 16 2" xfId="377"/>
    <cellStyle name="Comma [0] 3 2 17" xfId="86"/>
    <cellStyle name="Comma [0] 3 2 17 2" xfId="378"/>
    <cellStyle name="Comma [0] 3 2 18" xfId="87"/>
    <cellStyle name="Comma [0] 3 2 18 2" xfId="379"/>
    <cellStyle name="Comma [0] 3 2 19" xfId="88"/>
    <cellStyle name="Comma [0] 3 2 19 2" xfId="380"/>
    <cellStyle name="Comma [0] 3 2 2" xfId="15"/>
    <cellStyle name="Comma [0] 3 2 2 2" xfId="318"/>
    <cellStyle name="Comma [0] 3 2 20" xfId="89"/>
    <cellStyle name="Comma [0] 3 2 20 2" xfId="381"/>
    <cellStyle name="Comma [0] 3 2 21" xfId="90"/>
    <cellStyle name="Comma [0] 3 2 21 2" xfId="382"/>
    <cellStyle name="Comma [0] 3 2 22" xfId="91"/>
    <cellStyle name="Comma [0] 3 2 22 2" xfId="383"/>
    <cellStyle name="Comma [0] 3 2 23" xfId="370"/>
    <cellStyle name="Comma [0] 3 2 3" xfId="92"/>
    <cellStyle name="Comma [0] 3 2 3 2" xfId="384"/>
    <cellStyle name="Comma [0] 3 2 4" xfId="93"/>
    <cellStyle name="Comma [0] 3 2 4 2" xfId="385"/>
    <cellStyle name="Comma [0] 3 2 5" xfId="94"/>
    <cellStyle name="Comma [0] 3 2 5 2" xfId="386"/>
    <cellStyle name="Comma [0] 3 2 6" xfId="95"/>
    <cellStyle name="Comma [0] 3 2 6 2" xfId="387"/>
    <cellStyle name="Comma [0] 3 2 7" xfId="96"/>
    <cellStyle name="Comma [0] 3 2 7 2" xfId="388"/>
    <cellStyle name="Comma [0] 3 2 8" xfId="97"/>
    <cellStyle name="Comma [0] 3 2 8 2" xfId="389"/>
    <cellStyle name="Comma [0] 3 2 9" xfId="98"/>
    <cellStyle name="Comma [0] 3 2 9 2" xfId="390"/>
    <cellStyle name="Comma [0] 3 3" xfId="99"/>
    <cellStyle name="Comma [0] 3 3 2" xfId="391"/>
    <cellStyle name="Comma [0] 3 4" xfId="100"/>
    <cellStyle name="Comma [0] 3 4 2" xfId="392"/>
    <cellStyle name="Comma [0] 3 5" xfId="101"/>
    <cellStyle name="Comma [0] 3 5 2" xfId="393"/>
    <cellStyle name="Comma [0] 3 6" xfId="102"/>
    <cellStyle name="Comma [0] 3 6 2" xfId="394"/>
    <cellStyle name="Comma [0] 3 7" xfId="103"/>
    <cellStyle name="Comma [0] 3 7 2" xfId="395"/>
    <cellStyle name="Comma [0] 3 8" xfId="104"/>
    <cellStyle name="Comma [0] 3 8 2" xfId="396"/>
    <cellStyle name="Comma [0] 3 9" xfId="105"/>
    <cellStyle name="Comma [0] 3 9 2" xfId="397"/>
    <cellStyle name="Comma [0] 4" xfId="106"/>
    <cellStyle name="Comma [0] 4 10" xfId="107"/>
    <cellStyle name="Comma [0] 4 10 2" xfId="399"/>
    <cellStyle name="Comma [0] 4 11" xfId="108"/>
    <cellStyle name="Comma [0] 4 11 2" xfId="400"/>
    <cellStyle name="Comma [0] 4 12" xfId="109"/>
    <cellStyle name="Comma [0] 4 12 2" xfId="401"/>
    <cellStyle name="Comma [0] 4 13" xfId="110"/>
    <cellStyle name="Comma [0] 4 13 2" xfId="402"/>
    <cellStyle name="Comma [0] 4 14" xfId="111"/>
    <cellStyle name="Comma [0] 4 14 2" xfId="403"/>
    <cellStyle name="Comma [0] 4 15" xfId="398"/>
    <cellStyle name="Comma [0] 4 2" xfId="112"/>
    <cellStyle name="Comma [0] 4 2 2" xfId="404"/>
    <cellStyle name="Comma [0] 4 3" xfId="113"/>
    <cellStyle name="Comma [0] 4 3 2" xfId="405"/>
    <cellStyle name="Comma [0] 4 4" xfId="114"/>
    <cellStyle name="Comma [0] 4 4 2" xfId="406"/>
    <cellStyle name="Comma [0] 4 5" xfId="115"/>
    <cellStyle name="Comma [0] 4 5 2" xfId="407"/>
    <cellStyle name="Comma [0] 4 6" xfId="116"/>
    <cellStyle name="Comma [0] 4 6 2" xfId="408"/>
    <cellStyle name="Comma [0] 4 7" xfId="117"/>
    <cellStyle name="Comma [0] 4 7 2" xfId="409"/>
    <cellStyle name="Comma [0] 4 8" xfId="118"/>
    <cellStyle name="Comma [0] 4 8 2" xfId="410"/>
    <cellStyle name="Comma [0] 4 9" xfId="119"/>
    <cellStyle name="Comma [0] 4 9 2" xfId="411"/>
    <cellStyle name="Comma [0] 5" xfId="120"/>
    <cellStyle name="Comma [0] 5 2" xfId="121"/>
    <cellStyle name="Comma [0] 5 2 2" xfId="122"/>
    <cellStyle name="Comma [0] 5 2 2 2" xfId="123"/>
    <cellStyle name="Comma [0] 5 3" xfId="124"/>
    <cellStyle name="Comma [0] 5 4" xfId="412"/>
    <cellStyle name="Comma [0] 6" xfId="125"/>
    <cellStyle name="Comma [0] 6 2" xfId="413"/>
    <cellStyle name="Comma [0] 7" xfId="126"/>
    <cellStyle name="Comma [0] 7 2" xfId="127"/>
    <cellStyle name="Comma [0] 7 2 2" xfId="415"/>
    <cellStyle name="Comma [0] 7 3" xfId="414"/>
    <cellStyle name="Comma 10" xfId="128"/>
    <cellStyle name="Comma 10 2" xfId="416"/>
    <cellStyle name="Comma 10 2 2" xfId="129"/>
    <cellStyle name="Comma 10 2 2 2" xfId="417"/>
    <cellStyle name="Comma 12" xfId="130"/>
    <cellStyle name="Comma 2" xfId="3"/>
    <cellStyle name="Comma 2 10" xfId="131"/>
    <cellStyle name="Comma 2 10 2" xfId="418"/>
    <cellStyle name="Comma 2 11" xfId="132"/>
    <cellStyle name="Comma 2 11 2" xfId="419"/>
    <cellStyle name="Comma 2 12" xfId="133"/>
    <cellStyle name="Comma 2 12 2" xfId="420"/>
    <cellStyle name="Comma 2 13" xfId="134"/>
    <cellStyle name="Comma 2 13 2" xfId="421"/>
    <cellStyle name="Comma 2 14" xfId="135"/>
    <cellStyle name="Comma 2 14 2" xfId="422"/>
    <cellStyle name="Comma 2 15" xfId="136"/>
    <cellStyle name="Comma 2 15 2" xfId="423"/>
    <cellStyle name="Comma 2 16" xfId="137"/>
    <cellStyle name="Comma 2 16 2" xfId="424"/>
    <cellStyle name="Comma 2 17" xfId="138"/>
    <cellStyle name="Comma 2 17 2" xfId="425"/>
    <cellStyle name="Comma 2 18" xfId="139"/>
    <cellStyle name="Comma 2 18 2" xfId="426"/>
    <cellStyle name="Comma 2 19" xfId="140"/>
    <cellStyle name="Comma 2 19 2" xfId="427"/>
    <cellStyle name="Comma 2 2" xfId="10"/>
    <cellStyle name="Comma 2 2 2" xfId="313"/>
    <cellStyle name="Comma 2 20" xfId="141"/>
    <cellStyle name="Comma 2 20 2" xfId="428"/>
    <cellStyle name="Comma 2 21" xfId="142"/>
    <cellStyle name="Comma 2 21 2" xfId="429"/>
    <cellStyle name="Comma 2 22" xfId="143"/>
    <cellStyle name="Comma 2 22 2" xfId="430"/>
    <cellStyle name="Comma 2 3" xfId="144"/>
    <cellStyle name="Comma 2 3 2" xfId="431"/>
    <cellStyle name="Comma 2 4" xfId="145"/>
    <cellStyle name="Comma 2 4 2" xfId="432"/>
    <cellStyle name="Comma 2 5" xfId="146"/>
    <cellStyle name="Comma 2 5 2" xfId="433"/>
    <cellStyle name="Comma 2 6" xfId="147"/>
    <cellStyle name="Comma 2 6 2" xfId="434"/>
    <cellStyle name="Comma 2 7" xfId="148"/>
    <cellStyle name="Comma 2 7 2" xfId="435"/>
    <cellStyle name="Comma 2 8" xfId="149"/>
    <cellStyle name="Comma 2 8 2" xfId="436"/>
    <cellStyle name="Comma 2 9" xfId="150"/>
    <cellStyle name="Comma 2 9 2" xfId="437"/>
    <cellStyle name="Comma 3" xfId="8"/>
    <cellStyle name="Comma 3 10" xfId="9"/>
    <cellStyle name="Comma 3 10 2" xfId="312"/>
    <cellStyle name="Comma 3 11" xfId="151"/>
    <cellStyle name="Comma 3 11 2" xfId="438"/>
    <cellStyle name="Comma 3 12" xfId="152"/>
    <cellStyle name="Comma 3 12 2" xfId="439"/>
    <cellStyle name="Comma 3 13" xfId="153"/>
    <cellStyle name="Comma 3 13 2" xfId="440"/>
    <cellStyle name="Comma 3 14" xfId="154"/>
    <cellStyle name="Comma 3 14 2" xfId="441"/>
    <cellStyle name="Comma 3 15" xfId="155"/>
    <cellStyle name="Comma 3 15 2" xfId="442"/>
    <cellStyle name="Comma 3 16" xfId="156"/>
    <cellStyle name="Comma 3 16 2" xfId="443"/>
    <cellStyle name="Comma 3 17" xfId="311"/>
    <cellStyle name="Comma 3 2" xfId="157"/>
    <cellStyle name="Comma 3 2 10" xfId="158"/>
    <cellStyle name="Comma 3 2 10 2" xfId="445"/>
    <cellStyle name="Comma 3 2 11" xfId="159"/>
    <cellStyle name="Comma 3 2 11 2" xfId="446"/>
    <cellStyle name="Comma 3 2 12" xfId="160"/>
    <cellStyle name="Comma 3 2 12 2" xfId="447"/>
    <cellStyle name="Comma 3 2 13" xfId="161"/>
    <cellStyle name="Comma 3 2 13 2" xfId="448"/>
    <cellStyle name="Comma 3 2 14" xfId="162"/>
    <cellStyle name="Comma 3 2 14 2" xfId="449"/>
    <cellStyle name="Comma 3 2 15" xfId="163"/>
    <cellStyle name="Comma 3 2 15 2" xfId="450"/>
    <cellStyle name="Comma 3 2 16" xfId="164"/>
    <cellStyle name="Comma 3 2 16 2" xfId="451"/>
    <cellStyle name="Comma 3 2 17" xfId="165"/>
    <cellStyle name="Comma 3 2 17 2" xfId="452"/>
    <cellStyle name="Comma 3 2 18" xfId="166"/>
    <cellStyle name="Comma 3 2 18 2" xfId="453"/>
    <cellStyle name="Comma 3 2 19" xfId="167"/>
    <cellStyle name="Comma 3 2 19 2" xfId="454"/>
    <cellStyle name="Comma 3 2 2" xfId="14"/>
    <cellStyle name="Comma 3 2 2 2" xfId="317"/>
    <cellStyle name="Comma 3 2 20" xfId="168"/>
    <cellStyle name="Comma 3 2 20 2" xfId="455"/>
    <cellStyle name="Comma 3 2 21" xfId="169"/>
    <cellStyle name="Comma 3 2 21 2" xfId="456"/>
    <cellStyle name="Comma 3 2 22" xfId="170"/>
    <cellStyle name="Comma 3 2 22 2" xfId="457"/>
    <cellStyle name="Comma 3 2 23" xfId="444"/>
    <cellStyle name="Comma 3 2 3" xfId="171"/>
    <cellStyle name="Comma 3 2 3 2" xfId="458"/>
    <cellStyle name="Comma 3 2 4" xfId="172"/>
    <cellStyle name="Comma 3 2 4 2" xfId="459"/>
    <cellStyle name="Comma 3 2 5" xfId="173"/>
    <cellStyle name="Comma 3 2 5 2" xfId="460"/>
    <cellStyle name="Comma 3 2 6" xfId="174"/>
    <cellStyle name="Comma 3 2 6 2" xfId="461"/>
    <cellStyle name="Comma 3 2 7" xfId="175"/>
    <cellStyle name="Comma 3 2 7 2" xfId="462"/>
    <cellStyle name="Comma 3 2 8" xfId="176"/>
    <cellStyle name="Comma 3 2 8 2" xfId="463"/>
    <cellStyle name="Comma 3 2 9" xfId="177"/>
    <cellStyle name="Comma 3 2 9 2" xfId="464"/>
    <cellStyle name="Comma 3 3" xfId="178"/>
    <cellStyle name="Comma 3 3 2" xfId="179"/>
    <cellStyle name="Comma 3 3 3" xfId="465"/>
    <cellStyle name="Comma 3 4" xfId="180"/>
    <cellStyle name="Comma 3 4 2" xfId="466"/>
    <cellStyle name="Comma 3 5" xfId="181"/>
    <cellStyle name="Comma 3 5 2" xfId="467"/>
    <cellStyle name="Comma 3 6" xfId="182"/>
    <cellStyle name="Comma 3 6 2" xfId="468"/>
    <cellStyle name="Comma 3 7" xfId="183"/>
    <cellStyle name="Comma 3 7 2" xfId="469"/>
    <cellStyle name="Comma 3 8" xfId="184"/>
    <cellStyle name="Comma 3 8 2" xfId="470"/>
    <cellStyle name="Comma 3 9" xfId="185"/>
    <cellStyle name="Comma 3 9 2" xfId="471"/>
    <cellStyle name="Comma 4" xfId="186"/>
    <cellStyle name="Comma 4 10" xfId="12"/>
    <cellStyle name="Comma 4 10 2" xfId="315"/>
    <cellStyle name="Comma 4 11" xfId="187"/>
    <cellStyle name="Comma 4 11 2" xfId="473"/>
    <cellStyle name="Comma 4 12" xfId="188"/>
    <cellStyle name="Comma 4 12 2" xfId="474"/>
    <cellStyle name="Comma 4 13" xfId="189"/>
    <cellStyle name="Comma 4 13 2" xfId="475"/>
    <cellStyle name="Comma 4 14" xfId="190"/>
    <cellStyle name="Comma 4 14 2" xfId="476"/>
    <cellStyle name="Comma 4 15" xfId="472"/>
    <cellStyle name="Comma 4 2" xfId="191"/>
    <cellStyle name="Comma 4 2 2" xfId="477"/>
    <cellStyle name="Comma 4 3" xfId="192"/>
    <cellStyle name="Comma 4 3 2" xfId="478"/>
    <cellStyle name="Comma 4 4" xfId="193"/>
    <cellStyle name="Comma 4 4 2" xfId="479"/>
    <cellStyle name="Comma 4 5" xfId="194"/>
    <cellStyle name="Comma 4 5 2" xfId="480"/>
    <cellStyle name="Comma 4 6" xfId="195"/>
    <cellStyle name="Comma 4 6 2" xfId="481"/>
    <cellStyle name="Comma 4 7" xfId="196"/>
    <cellStyle name="Comma 4 7 2" xfId="482"/>
    <cellStyle name="Comma 4 8" xfId="197"/>
    <cellStyle name="Comma 4 8 2" xfId="483"/>
    <cellStyle name="Comma 4 9" xfId="198"/>
    <cellStyle name="Comma 4 9 2" xfId="484"/>
    <cellStyle name="Comma 5" xfId="199"/>
    <cellStyle name="Comma 5 2" xfId="200"/>
    <cellStyle name="Comma 5 2 2" xfId="486"/>
    <cellStyle name="Comma 5 3" xfId="485"/>
    <cellStyle name="Comma 6" xfId="201"/>
    <cellStyle name="Comma 6 2" xfId="487"/>
    <cellStyle name="Comma 7" xfId="202"/>
    <cellStyle name="Comma 7 2" xfId="488"/>
    <cellStyle name="Comma 8" xfId="203"/>
    <cellStyle name="Comma 8 2" xfId="489"/>
    <cellStyle name="Comma0" xfId="204"/>
    <cellStyle name="Comma0 2" xfId="490"/>
    <cellStyle name="Copied" xfId="205"/>
    <cellStyle name="Currency [0] 2" xfId="206"/>
    <cellStyle name="Currency [0] 2 2" xfId="491"/>
    <cellStyle name="Currency 2" xfId="207"/>
    <cellStyle name="Currency 2 2" xfId="492"/>
    <cellStyle name="Currency0" xfId="208"/>
    <cellStyle name="Currency0 2" xfId="493"/>
    <cellStyle name="Date" xfId="209"/>
    <cellStyle name="date1" xfId="210"/>
    <cellStyle name="date1 2" xfId="494"/>
    <cellStyle name="Description" xfId="211"/>
    <cellStyle name="Entered" xfId="212"/>
    <cellStyle name="Euro" xfId="213"/>
    <cellStyle name="Euro 2" xfId="495"/>
    <cellStyle name="Excel Built-in Normal" xfId="214"/>
    <cellStyle name="Fixed" xfId="215"/>
    <cellStyle name="Fixed 2" xfId="496"/>
    <cellStyle name="Grey" xfId="216"/>
    <cellStyle name="GTT%" xfId="217"/>
    <cellStyle name="GTT% 2" xfId="497"/>
    <cellStyle name="Header1" xfId="218"/>
    <cellStyle name="Header2" xfId="219"/>
    <cellStyle name="Hyperlink 2" xfId="220"/>
    <cellStyle name="Input [yellow]" xfId="221"/>
    <cellStyle name="m" xfId="222"/>
    <cellStyle name="m_214" xfId="223"/>
    <cellStyle name="m_214_AC" xfId="224"/>
    <cellStyle name="m_AC" xfId="225"/>
    <cellStyle name="no dec" xfId="226"/>
    <cellStyle name="Normal" xfId="0" builtinId="0"/>
    <cellStyle name="Normal - Style1" xfId="227"/>
    <cellStyle name="Normal - Style2" xfId="228"/>
    <cellStyle name="Normal - Style3" xfId="229"/>
    <cellStyle name="Normal - Style4" xfId="230"/>
    <cellStyle name="Normal - Style5" xfId="231"/>
    <cellStyle name="Normal - Style6" xfId="232"/>
    <cellStyle name="Normal - Style7" xfId="233"/>
    <cellStyle name="Normal - Style8" xfId="234"/>
    <cellStyle name="Normal 10" xfId="16"/>
    <cellStyle name="Normal 10 2" xfId="319"/>
    <cellStyle name="Normal 11" xfId="542"/>
    <cellStyle name="Normal 12" xfId="235"/>
    <cellStyle name="Normal 12 2" xfId="498"/>
    <cellStyle name="Normal 13" xfId="544"/>
    <cellStyle name="Normal 14" xfId="543"/>
    <cellStyle name="Normal 2" xfId="2"/>
    <cellStyle name="Normal 2 10" xfId="7"/>
    <cellStyle name="Normal 2 10 2" xfId="310"/>
    <cellStyle name="Normal 2 11" xfId="236"/>
    <cellStyle name="Normal 2 11 2" xfId="499"/>
    <cellStyle name="Normal 2 12" xfId="237"/>
    <cellStyle name="Normal 2 12 2" xfId="500"/>
    <cellStyle name="Normal 2 13" xfId="238"/>
    <cellStyle name="Normal 2 13 2" xfId="501"/>
    <cellStyle name="Normal 2 14" xfId="239"/>
    <cellStyle name="Normal 2 14 2" xfId="502"/>
    <cellStyle name="Normal 2 15" xfId="240"/>
    <cellStyle name="Normal 2 15 2" xfId="503"/>
    <cellStyle name="Normal 2 16" xfId="241"/>
    <cellStyle name="Normal 2 16 2" xfId="504"/>
    <cellStyle name="Normal 2 17" xfId="242"/>
    <cellStyle name="Normal 2 17 2" xfId="505"/>
    <cellStyle name="Normal 2 18" xfId="243"/>
    <cellStyle name="Normal 2 18 2" xfId="506"/>
    <cellStyle name="Normal 2 19" xfId="244"/>
    <cellStyle name="Normal 2 19 2" xfId="507"/>
    <cellStyle name="Normal 2 2" xfId="13"/>
    <cellStyle name="Normal 2 2 2" xfId="245"/>
    <cellStyle name="Normal 2 2 2 2" xfId="508"/>
    <cellStyle name="Normal 2 2 3" xfId="316"/>
    <cellStyle name="Normal 2 20" xfId="246"/>
    <cellStyle name="Normal 2 20 2" xfId="509"/>
    <cellStyle name="Normal 2 21" xfId="247"/>
    <cellStyle name="Normal 2 21 2" xfId="510"/>
    <cellStyle name="Normal 2 22" xfId="248"/>
    <cellStyle name="Normal 2 22 2" xfId="511"/>
    <cellStyle name="Normal 2 3" xfId="249"/>
    <cellStyle name="Normal 2 3 2" xfId="512"/>
    <cellStyle name="Normal 2 4" xfId="250"/>
    <cellStyle name="Normal 2 4 2" xfId="513"/>
    <cellStyle name="Normal 2 5" xfId="251"/>
    <cellStyle name="Normal 2 5 2" xfId="514"/>
    <cellStyle name="Normal 2 6" xfId="252"/>
    <cellStyle name="Normal 2 6 2" xfId="515"/>
    <cellStyle name="Normal 2 7" xfId="253"/>
    <cellStyle name="Normal 2 7 2" xfId="516"/>
    <cellStyle name="Normal 2 8" xfId="254"/>
    <cellStyle name="Normal 2 8 2" xfId="517"/>
    <cellStyle name="Normal 2 9" xfId="255"/>
    <cellStyle name="Normal 2 9 2" xfId="518"/>
    <cellStyle name="Normal 3" xfId="6"/>
    <cellStyle name="Normal 3 2" xfId="256"/>
    <cellStyle name="Normal 3 2 2" xfId="257"/>
    <cellStyle name="Normal 3 2 2 2" xfId="258"/>
    <cellStyle name="Normal 3 2 2 2 2" xfId="521"/>
    <cellStyle name="Normal 3 2 2 3" xfId="520"/>
    <cellStyle name="Normal 3 2 3" xfId="519"/>
    <cellStyle name="Normal 3 3" xfId="309"/>
    <cellStyle name="Normal 4" xfId="259"/>
    <cellStyle name="Normal 5" xfId="260"/>
    <cellStyle name="Normal 5 2" xfId="261"/>
    <cellStyle name="Normal 5 2 2" xfId="523"/>
    <cellStyle name="Normal 5 3" xfId="522"/>
    <cellStyle name="Normal 6" xfId="262"/>
    <cellStyle name="Normal 6 2" xfId="524"/>
    <cellStyle name="Normal 7" xfId="263"/>
    <cellStyle name="Normal 7 2" xfId="525"/>
    <cellStyle name="Normal 8" xfId="264"/>
    <cellStyle name="Normal 8 2" xfId="526"/>
    <cellStyle name="Normal 9" xfId="545"/>
    <cellStyle name="Percent [2]" xfId="265"/>
    <cellStyle name="Percent [2] 2" xfId="527"/>
    <cellStyle name="Percent 2" xfId="266"/>
    <cellStyle name="Percent 2 10" xfId="267"/>
    <cellStyle name="Percent 2 10 2" xfId="529"/>
    <cellStyle name="Percent 2 11" xfId="268"/>
    <cellStyle name="Percent 2 11 2" xfId="530"/>
    <cellStyle name="Percent 2 12" xfId="269"/>
    <cellStyle name="Percent 2 12 2" xfId="531"/>
    <cellStyle name="Percent 2 13" xfId="270"/>
    <cellStyle name="Percent 2 13 2" xfId="532"/>
    <cellStyle name="Percent 2 14" xfId="271"/>
    <cellStyle name="Percent 2 14 2" xfId="533"/>
    <cellStyle name="Percent 2 15" xfId="528"/>
    <cellStyle name="Percent 2 2" xfId="272"/>
    <cellStyle name="Percent 2 2 2" xfId="534"/>
    <cellStyle name="Percent 2 3" xfId="273"/>
    <cellStyle name="Percent 2 3 2" xfId="535"/>
    <cellStyle name="Percent 2 4" xfId="274"/>
    <cellStyle name="Percent 2 4 2" xfId="536"/>
    <cellStyle name="Percent 2 5" xfId="275"/>
    <cellStyle name="Percent 2 5 2" xfId="537"/>
    <cellStyle name="Percent 2 6" xfId="276"/>
    <cellStyle name="Percent 2 6 2" xfId="538"/>
    <cellStyle name="Percent 2 7" xfId="277"/>
    <cellStyle name="Percent 2 7 2" xfId="539"/>
    <cellStyle name="Percent 2 8" xfId="278"/>
    <cellStyle name="Percent 2 8 2" xfId="540"/>
    <cellStyle name="Percent 2 9" xfId="279"/>
    <cellStyle name="Percent 2 9 2" xfId="541"/>
    <cellStyle name="Percent 3" xfId="280"/>
    <cellStyle name="Result 1" xfId="281"/>
    <cellStyle name="RevList" xfId="282"/>
    <cellStyle name="Subtotal" xfId="283"/>
    <cellStyle name="sum" xfId="284"/>
    <cellStyle name="Unit" xfId="285"/>
    <cellStyle name="User_Defined_A" xfId="286"/>
    <cellStyle name="เครื่องหมายจุลภาค [0]_N1222H#" xfId="287"/>
    <cellStyle name="เครื่องหมายจุลภาค_N1222H#" xfId="288"/>
    <cellStyle name="เครื่องหมายสกุลเงิน [0]_N1222H#" xfId="289"/>
    <cellStyle name="เครื่องหมายสกุลเงิน_N1222H#" xfId="290"/>
    <cellStyle name="ปกติ_N1222H#" xfId="291"/>
    <cellStyle name="똿뗦먛귟 [0.00]_PRODUCT DETAIL Q1" xfId="292"/>
    <cellStyle name="똿뗦먛귟_PRODUCT DETAIL Q1" xfId="293"/>
    <cellStyle name="믅됞 [0.00]_PRODUCT DETAIL Q1" xfId="294"/>
    <cellStyle name="믅됞_PRODUCT DETAIL Q1" xfId="295"/>
    <cellStyle name="백분율_HOBONG" xfId="296"/>
    <cellStyle name="뷭?_BOOKSHIP" xfId="297"/>
    <cellStyle name="콤마 [0]_1202" xfId="298"/>
    <cellStyle name="콤마_1202" xfId="299"/>
    <cellStyle name="통화 [0]_1202" xfId="300"/>
    <cellStyle name="통화_1202" xfId="301"/>
    <cellStyle name="표준_(정보부문)월별인원계획" xfId="302"/>
    <cellStyle name="一般_17 JAN" xfId="303"/>
    <cellStyle name="千分位[0]_17 JAN" xfId="304"/>
    <cellStyle name="千分位_17 JAN" xfId="305"/>
    <cellStyle name="標準_Breakdown_NA" xfId="306"/>
    <cellStyle name="貨幣 [0]_17 JAN" xfId="307"/>
    <cellStyle name="貨幣_17 JAN" xfId="3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DATA%20PROJECT\DAKSA%20RESIDENCE\proyek\9903\bq\bq-ars\BQ-PS&amp;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RODA%20KONSTRUKSI\casa%20indigo\PENAWARAN\BQ-Indigo-Ref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DI\Data%202014\Kadek%20Saputra\Sentosa%20Umalas\DATA%20AGUSTUS%202011\RODA%20KONSTRUKSI\RUKO%20MALIOBORO\Bill%20Of%20Quanti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aton/Documents%20and%20Settings/admin/My%20Documents/Budiyasa/Proyek/mess-embri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ifs1\data\DEECE\GRAND%20HYATT\DOCUME~1\MARTIN~1\LOCALS~1\Temp\C.Lotus.Notes.Data\Dataproj\B%20A%20L%20I\PENINSULA%203\ESKALASI\Dataproj\Gedung%20Badminton\tahap-II\BQ-TAHAP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aton/Dataproj/B%20A%20L%20I/PENINSULA%203/ESKALASI/Dataproj/Gedung%20Badminton/tahap-II/BQ-TAHA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DATA%20PROJECT\DAKSA%20RESIDENCE\PROYEK\proyek\Th-2002\0208\bq-ruko\final-wk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PROJEC%20PRIVATE\2010\Villa%20Renovasi\RAB.%20%20500%20J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\arsip\My%20Documents\Data%20proses\Arp\Arp%20BAGAWAN%20GIRI%20ANNE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ifs1\data\Artawan%20Poetoe\JKS\Raddin%20Hotel\2005-mERCURE\kIDS%20CLUB%20+%20fITNESS\Artawan%20Poetoe\JKS\Peninsula\2005\Kantor\Datapro\JKS\Peninsula\JacaRanda-Restaurant\PROYEK\proyek\Th-2002\0208\bq-ruko\final-wk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DI\Data%202014\Kadek%20Saputra\Sentosa%20Umalas\Dataproj\B%20A%20L%20I\PENINSULA%203\ESKALASI\Dataproj\Gedung%20Badminton\tahap-II\BQ-TAHAP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Artawan%20Poetoe\JKS\Raddin%20Hotel\2005-mERCURE\kIDS%20CLUB%20+%20fITNESS\Artawan%20Poetoe\JKS\Peninsula\2005\Kantor\Datapro\JKS\Peninsula\JacaRanda-Restaurant\Div~QS\Daan%20Mogot\Ruko%20Daan%20Mogot%20R2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Documents%20and%20Settings\user\My%20Documents\MINGGUAN\mingguan\K1%20PUSA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DI\Data%202014\Kadek%20Saputra\Sentosa%20Umalas\Kantor\Datapro\JKS\Santika%20Hotel\Th%202004\Final\Dataproj\B%20A%20L%20I\PENINSULA%203\ESKALASI\Dataproj\Gedung%20Badminton\tahap-II\BQ-TAH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RODA%20KONSTRUKSI\RUKO%20MALIOBORO\Bill%20Of%20Quantit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JINENG%20JAYA\CUKUP%20MANDIRI\Dataproj\B%20A%20L%20I\PENINSULA%203\ESKALASI\Dataproj\Gedung%20Badminton\tahap-II\BQ-TAHAP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ert\data%20(f)\TERMINAL%20TlogoWaru%20MALANG\GO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ifs1\data\DEECE\GRAND%20HYATT\Artawan%20Poetoe\JKS\Grand%20Hyatt\2004\mOCK%20UP\Dataproj\B%20A%20L%20I\PENINSULA%203\ESKALASI\Dataproj\Gedung%20Badminton\tahap-II\BQ-TAHAP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proj\Gedung%20Badminton\tahap-II\BQ-TAHAP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in2000\div-proyek\PROYEK\TH-2003\0301\BQ\townhouse\BQ-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DAL-08\DATA-08%20(D)\DWI\2%20RAB%20VVIP%20HOM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aton/Data%20Proyek/2008/BQ%20BATU%20BELIG/Copy%20of%20@-BOQ%20MEP%201.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r05\hd%203%20(e)\bangkalan\pasar%20tradisional%202\GETZ\21%2002%2007\RAP%20KLAKAH%20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Artawan%20Poetoe\JKS\Raddin%20Hotel\2005-mERCURE\kIDS%20CLUB%20+%20fITNESS\Artawan%20Poetoe\JKS\Peninsula\2005\Kantor\Datapro\JKS\Peninsula\JacaRanda-Restaurant\WINDOWS\TEMP\BOQ%20Permata%20Senayan%2009%20Juni%202003%20R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%20(E)\RODA%20KONSTRUKSI\Bali%20Rani\CRISTAL%20BALI\BQ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ert\Data%20(F)\PROJECT\SUT%20BOJONEGORO\RAB%20KARANTINA%20JOGYA\RAB%20PRODUCT\Analis%20ME%20090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B%20LANTAI%203-4%20A%20DANA%202M150J%20REVIS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G-2"/>
      <sheetName val="CAT_HRG"/>
      <sheetName val="BAG-1"/>
      <sheetName val="BAG-3"/>
      <sheetName val="BAG-4"/>
      <sheetName val="BAG-5"/>
      <sheetName val="BAG-6"/>
      <sheetName val="BAG-7"/>
      <sheetName val="BAG-8"/>
      <sheetName val="BAG-9"/>
      <sheetName val="BAG-10"/>
      <sheetName val="BAG-11"/>
      <sheetName val="BAG-12"/>
      <sheetName val="BAG-13"/>
      <sheetName val="TOTAL"/>
      <sheetName val="GRAND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orm Work"/>
      <sheetName val="Harsat Pintu"/>
      <sheetName val="Harga Material"/>
      <sheetName val="Harsat-Bong"/>
      <sheetName val="Perhit"/>
      <sheetName val="Hit"/>
      <sheetName val="Muck up Toilet 5.3"/>
      <sheetName val="Muck up Toilet 5.2"/>
      <sheetName val="Groun tank"/>
      <sheetName val="Septictank"/>
      <sheetName val="Muck-Up Pergola Besi"/>
      <sheetName val="BQ-Flap Jacks"/>
      <sheetName val="Sheet1"/>
      <sheetName val="Swimming-pOOL"/>
      <sheetName val="Harsat-2009"/>
      <sheetName val="BQ-New Building type-C"/>
      <sheetName val="BQ-New Building-type B"/>
      <sheetName val="BQ-New Building type-A"/>
      <sheetName val="PATH WAY"/>
      <sheetName val="POOL &amp; HALAMAN pavilium"/>
      <sheetName val="BQ-PAvilium"/>
      <sheetName val="BQ-Renov Standar"/>
      <sheetName val="Preliminaries"/>
      <sheetName val="Summary"/>
    </sheetNames>
    <sheetDataSet>
      <sheetData sheetId="0" refreshError="1"/>
      <sheetData sheetId="1" refreshError="1"/>
      <sheetData sheetId="2" refreshError="1">
        <row r="34">
          <cell r="G34">
            <v>8875000</v>
          </cell>
        </row>
        <row r="52">
          <cell r="G52">
            <v>136000</v>
          </cell>
        </row>
        <row r="54">
          <cell r="G54">
            <v>246000</v>
          </cell>
        </row>
        <row r="176">
          <cell r="G176">
            <v>60000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Harsat1- STR"/>
      <sheetName val="site M"/>
      <sheetName val="Harsat3-San"/>
      <sheetName val="Harsat2-ARS"/>
      <sheetName val="Form Work"/>
      <sheetName val="Harga Material"/>
      <sheetName val="Perhit"/>
      <sheetName val="Cover"/>
      <sheetName val="Summary"/>
      <sheetName val="Harsat-2009"/>
      <sheetName val="RAB"/>
      <sheetName val="Lt I"/>
      <sheetName val="Lt II"/>
      <sheetName val="Lt III"/>
      <sheetName val="Lt IV"/>
      <sheetName val="Atap"/>
      <sheetName val="El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7">
          <cell r="O57">
            <v>425500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XXXXXX"/>
      <sheetName val="cover"/>
      <sheetName val="Rekap BQ"/>
      <sheetName val="BQ external"/>
      <sheetName val="BQ MESS"/>
      <sheetName val="BQ VILLA)"/>
      <sheetName val="Harga Satuan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12">
          <cell r="K112">
            <v>196380</v>
          </cell>
        </row>
        <row r="118">
          <cell r="K118">
            <v>362900</v>
          </cell>
        </row>
      </sheetData>
      <sheetData sheetId="16" refreshError="1">
        <row r="9">
          <cell r="G9">
            <v>45000</v>
          </cell>
        </row>
        <row r="11">
          <cell r="G11">
            <v>95000</v>
          </cell>
        </row>
        <row r="13">
          <cell r="G13">
            <v>900</v>
          </cell>
        </row>
        <row r="14">
          <cell r="G14">
            <v>95500</v>
          </cell>
        </row>
        <row r="27">
          <cell r="G27">
            <v>59400</v>
          </cell>
        </row>
        <row r="28">
          <cell r="G28">
            <v>50000</v>
          </cell>
        </row>
        <row r="48">
          <cell r="G48">
            <v>6300</v>
          </cell>
        </row>
        <row r="49">
          <cell r="G49">
            <v>8900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bahan"/>
      <sheetName val="J"/>
      <sheetName val="Ven"/>
      <sheetName val="STR"/>
      <sheetName val="Cover"/>
      <sheetName val="Material"/>
      <sheetName val="Upah"/>
      <sheetName val="atap"/>
      <sheetName val="Sub"/>
      <sheetName val="Analisa Gabungan"/>
      <sheetName val="Bill rekap"/>
      <sheetName val="Bill of Qty"/>
      <sheetName val="rum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FORM X COST"/>
      <sheetName val="BQ-Str"/>
      <sheetName val="Cover"/>
      <sheetName val="HARGA AL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at Harga"/>
      <sheetName val="Sum"/>
      <sheetName val="Daf 1"/>
      <sheetName val="Daf 2"/>
      <sheetName val="Daf 3"/>
      <sheetName val="Daf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KAP-gedung"/>
      <sheetName val="SUB RKP gdg"/>
      <sheetName val="Gedung"/>
      <sheetName val="ANALISA"/>
      <sheetName val="BAHAN"/>
      <sheetName val="VO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000000"/>
      <sheetName val="arp-11-13"/>
      <sheetName val="ARP-9FG"/>
      <sheetName val="arp-9e"/>
      <sheetName val="arp-9h"/>
      <sheetName val="ARP-8"/>
      <sheetName val="Arp-6"/>
      <sheetName val="arp 5a"/>
      <sheetName val="arp4a"/>
      <sheetName val="arp-3a"/>
      <sheetName val="arp-3busa"/>
      <sheetName val="arp-3b"/>
      <sheetName val="ARP-10"/>
      <sheetName val="abl-1"/>
      <sheetName val="arp-1"/>
      <sheetName val="arp-16"/>
      <sheetName val="arp-17"/>
      <sheetName val="arp-18"/>
      <sheetName val="ARP-19"/>
      <sheetName val="ARP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7">
          <cell r="I167">
            <v>4.2031000000000001</v>
          </cell>
          <cell r="J167">
            <v>10.347899999999999</v>
          </cell>
          <cell r="K167">
            <v>17.413800000000002</v>
          </cell>
          <cell r="L167">
            <v>25.413000000000004</v>
          </cell>
          <cell r="M167">
            <v>31.919900000000005</v>
          </cell>
          <cell r="N167">
            <v>38.312500000000007</v>
          </cell>
          <cell r="O167">
            <v>46.787600000000005</v>
          </cell>
          <cell r="P167">
            <v>54.648300000000006</v>
          </cell>
          <cell r="Q167">
            <v>62.939400000000006</v>
          </cell>
          <cell r="R167">
            <v>73.529800000000009</v>
          </cell>
          <cell r="S167">
            <v>83.79</v>
          </cell>
          <cell r="T167">
            <v>92.869400000000013</v>
          </cell>
          <cell r="U167">
            <v>100.00049083333334</v>
          </cell>
        </row>
      </sheetData>
      <sheetData sheetId="19"/>
      <sheetData sheetId="2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at Harga"/>
      <sheetName val="Sum"/>
      <sheetName val="Daf 1"/>
      <sheetName val="Daf 2"/>
      <sheetName val="Daf 3"/>
      <sheetName val="Daf 4"/>
      <sheetName val="Analisa Upah &amp; Bahan Plum"/>
      <sheetName val="NAME"/>
      <sheetName val="harsat"/>
      <sheetName val="Analisa"/>
      <sheetName val="Elektrikal"/>
      <sheetName val="KLA"/>
      <sheetName val="LAMP-AO"/>
      <sheetName val="LAM-C"/>
      <sheetName val="LAM-A&amp;B"/>
      <sheetName val="INFO"/>
      <sheetName val="CAT_HRG"/>
      <sheetName val="TOTAL"/>
      <sheetName val="DAF-1"/>
      <sheetName val="DAF-2"/>
      <sheetName val="DAF-3"/>
      <sheetName val="DAF-4"/>
      <sheetName val="DAF-5"/>
      <sheetName val="DAF-6"/>
      <sheetName val="DAF-7"/>
      <sheetName val="DAF-8"/>
      <sheetName val="DAF-9"/>
      <sheetName val="DAF-10"/>
      <sheetName val="DAF-11"/>
      <sheetName val="DAF-12"/>
      <sheetName val="DAF-13"/>
      <sheetName val="DAF-14"/>
      <sheetName val="DAF-15"/>
      <sheetName val="DAF-16"/>
      <sheetName val="REKAP ME"/>
      <sheetName val="PENDAHULUAN (ME)"/>
      <sheetName val="HYD KT"/>
      <sheetName val="HYDRANT"/>
      <sheetName val="SPR KT"/>
      <sheetName val="SPRINKLER"/>
      <sheetName val="PL KT"/>
      <sheetName val="PLUMBING"/>
      <sheetName val="Pipe"/>
      <sheetName val="valve "/>
      <sheetName val="Fitt"/>
      <sheetName val="sch"/>
      <sheetName val="Sheet5"/>
      <sheetName val="Sheet1"/>
      <sheetName val="Dafmat"/>
      <sheetName val="CP-2"/>
      <sheetName val="bahan"/>
      <sheetName val="upah"/>
      <sheetName val="rumus"/>
      <sheetName val="LBK1"/>
      <sheetName val="BOQ EXTERN"/>
      <sheetName val="BOQ INTERN"/>
      <sheetName val="SCHEDULE"/>
      <sheetName val="Sumber Daya"/>
      <sheetName val="database"/>
      <sheetName val="TOWN"/>
      <sheetName val="BAG-2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Cover"/>
      <sheetName val="An Arsitektur"/>
      <sheetName val="An Struktur"/>
      <sheetName val="BOQ"/>
      <sheetName val="Unit Rate"/>
      <sheetName val="BAG_2"/>
      <sheetName val="daffin"/>
      <sheetName val="rab - persiapan &amp; lantai-1"/>
      <sheetName val="RAB Triduta"/>
      <sheetName val="BTL-Persiapan"/>
      <sheetName val="BTL-Bau"/>
      <sheetName val="BTL-alat"/>
      <sheetName val="BTL-Rupa"/>
      <sheetName val="ME Mall"/>
      <sheetName val="Harga ME "/>
      <sheetName val="analisa ARS"/>
      <sheetName val="Analisa Upah _ Bahan Plum"/>
    </sheetNames>
    <sheetDataSet>
      <sheetData sheetId="0" refreshError="1"/>
      <sheetData sheetId="1" refreshError="1"/>
      <sheetData sheetId="2" refreshError="1">
        <row r="423">
          <cell r="K423">
            <v>606378000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HB"/>
      <sheetName val="ANALISA"/>
      <sheetName val="G O R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ampul"/>
      <sheetName val="Schedule"/>
      <sheetName val="LT&amp;Plafond"/>
      <sheetName val="Dinding"/>
      <sheetName val="Sanitair"/>
      <sheetName val="Kusen"/>
      <sheetName val="ANKusen"/>
      <sheetName val="Sch-Kusen"/>
      <sheetName val="QTY-Kusen"/>
      <sheetName val="Struktur"/>
      <sheetName val="Pilecaps"/>
      <sheetName val="Tie Beam"/>
      <sheetName val="Balok"/>
      <sheetName val="Cover"/>
      <sheetName val="Kolom"/>
      <sheetName val="Plat"/>
      <sheetName val="Tangga"/>
      <sheetName val="ANPrelim"/>
      <sheetName val="Lain-2"/>
      <sheetName val="M&amp;E"/>
      <sheetName val="AN-M&amp;E"/>
      <sheetName val="Analisa"/>
      <sheetName val="Rekap"/>
      <sheetName val="BOQ KJ-D &amp; KJ-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">
          <cell r="L10">
            <v>1.06</v>
          </cell>
        </row>
      </sheetData>
      <sheetData sheetId="22" refreshError="1"/>
      <sheetData sheetId="2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>
        <row r="5">
          <cell r="H5">
            <v>0.98</v>
          </cell>
        </row>
      </sheetData>
      <sheetData sheetId="1"/>
      <sheetData sheetId="2" refreshError="1">
        <row r="7">
          <cell r="K7">
            <v>0.96332098457657989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</sheetNames>
    <sheetDataSet>
      <sheetData sheetId="0"/>
      <sheetData sheetId="1"/>
      <sheetData sheetId="2" refreshError="1">
        <row r="13">
          <cell r="L13">
            <v>1.1634900249056788</v>
          </cell>
        </row>
      </sheetData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8">
          <cell r="E78">
            <v>39000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arsat1- STR"/>
      <sheetName val="site M"/>
      <sheetName val="Harsat3-San"/>
      <sheetName val="Harsat2-ARS"/>
      <sheetName val="Form Work"/>
      <sheetName val="Harga Material"/>
      <sheetName val="Perhit"/>
      <sheetName val="Cover"/>
      <sheetName val="Summary"/>
      <sheetName val="Harsat-2009"/>
      <sheetName val="RAB"/>
      <sheetName val="Lt I"/>
      <sheetName val="Lt II"/>
      <sheetName val="Lt III"/>
      <sheetName val="Lt IV"/>
      <sheetName val="Atap"/>
      <sheetName val="El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">
          <cell r="G9">
            <v>75000</v>
          </cell>
        </row>
        <row r="10">
          <cell r="G10">
            <v>95000</v>
          </cell>
        </row>
        <row r="11">
          <cell r="G11">
            <v>135000</v>
          </cell>
        </row>
        <row r="15">
          <cell r="G15">
            <v>11000</v>
          </cell>
        </row>
        <row r="16">
          <cell r="G16">
            <v>5000</v>
          </cell>
        </row>
        <row r="19">
          <cell r="G19">
            <v>2000</v>
          </cell>
        </row>
        <row r="23">
          <cell r="G23">
            <v>75000</v>
          </cell>
        </row>
        <row r="24">
          <cell r="G24">
            <v>625000</v>
          </cell>
        </row>
        <row r="25">
          <cell r="G25">
            <v>185000</v>
          </cell>
        </row>
        <row r="29">
          <cell r="G29">
            <v>6800000</v>
          </cell>
        </row>
        <row r="32">
          <cell r="G32">
            <v>2300000</v>
          </cell>
        </row>
        <row r="37">
          <cell r="G37">
            <v>86000</v>
          </cell>
        </row>
        <row r="48">
          <cell r="G48">
            <v>140000</v>
          </cell>
        </row>
        <row r="52">
          <cell r="G52">
            <v>95000</v>
          </cell>
        </row>
        <row r="53">
          <cell r="G53">
            <v>13000</v>
          </cell>
        </row>
        <row r="54">
          <cell r="G54">
            <v>13000</v>
          </cell>
        </row>
        <row r="58">
          <cell r="G58">
            <v>12000</v>
          </cell>
        </row>
        <row r="62">
          <cell r="G62">
            <v>11000</v>
          </cell>
        </row>
        <row r="68">
          <cell r="G68">
            <v>41100</v>
          </cell>
        </row>
        <row r="69">
          <cell r="G69">
            <v>67500</v>
          </cell>
        </row>
        <row r="70">
          <cell r="G70">
            <v>32000</v>
          </cell>
        </row>
        <row r="71">
          <cell r="G71">
            <v>34300</v>
          </cell>
        </row>
        <row r="81">
          <cell r="G81">
            <v>27500</v>
          </cell>
        </row>
        <row r="94">
          <cell r="G94">
            <v>3000</v>
          </cell>
        </row>
        <row r="95">
          <cell r="G95">
            <v>20000</v>
          </cell>
        </row>
        <row r="96">
          <cell r="G96">
            <v>19000</v>
          </cell>
        </row>
        <row r="98">
          <cell r="G98">
            <v>175000</v>
          </cell>
        </row>
        <row r="101">
          <cell r="G101">
            <v>4000</v>
          </cell>
        </row>
        <row r="106">
          <cell r="G106">
            <v>12300</v>
          </cell>
        </row>
        <row r="108">
          <cell r="G108">
            <v>7500</v>
          </cell>
        </row>
        <row r="109">
          <cell r="G109">
            <v>25000</v>
          </cell>
        </row>
        <row r="110">
          <cell r="G110">
            <v>1100</v>
          </cell>
        </row>
        <row r="112">
          <cell r="G112">
            <v>27500</v>
          </cell>
        </row>
        <row r="119">
          <cell r="G119">
            <v>15000</v>
          </cell>
        </row>
        <row r="127">
          <cell r="G127">
            <v>35000</v>
          </cell>
        </row>
        <row r="129">
          <cell r="G129">
            <v>75000</v>
          </cell>
        </row>
        <row r="130">
          <cell r="G130">
            <v>30000</v>
          </cell>
        </row>
        <row r="137">
          <cell r="G137">
            <v>8000</v>
          </cell>
        </row>
        <row r="147">
          <cell r="G147">
            <v>15000</v>
          </cell>
        </row>
        <row r="148">
          <cell r="G148">
            <v>12500</v>
          </cell>
        </row>
        <row r="149">
          <cell r="G149">
            <v>25000</v>
          </cell>
        </row>
        <row r="150">
          <cell r="G150">
            <v>20000</v>
          </cell>
        </row>
        <row r="155">
          <cell r="G155">
            <v>15700</v>
          </cell>
        </row>
        <row r="156">
          <cell r="G156">
            <v>18800</v>
          </cell>
        </row>
        <row r="158">
          <cell r="G158">
            <v>1900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8">
          <cell r="F78">
            <v>39000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HB"/>
      <sheetName val="ANALISA"/>
      <sheetName val="G O R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SELL-SUMM-COST"/>
      <sheetName val="Rekap Direct Cost"/>
      <sheetName val="Analisa -Baku"/>
      <sheetName val="Price"/>
      <sheetName val="Management"/>
      <sheetName val="name"/>
      <sheetName val="Tie Beam GN"/>
      <sheetName val="PileCap"/>
      <sheetName val="Cover"/>
      <sheetName val="BQ ARS"/>
      <sheetName val="DAF-7"/>
      <sheetName val="IPL_SCHEDULE"/>
      <sheetName val="HARGA MATERIAL"/>
      <sheetName val="Daftar Har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Price Biaya Cadangan"/>
      <sheetName val="BQ.Rekapitulasi  Akhir"/>
      <sheetName val="Form-3.3"/>
      <sheetName val="Tataudara"/>
      <sheetName val="STR(CANCEL)"/>
      <sheetName val="BQ_Rekapitulasi  Akhir"/>
      <sheetName val="STR"/>
      <sheetName val="Rekap"/>
      <sheetName val="Cover"/>
      <sheetName val="Cover Daf-2"/>
      <sheetName val="TOWN"/>
      <sheetName val="ALAT"/>
      <sheetName val="Rekap Direct Cost"/>
      <sheetName val="Spec ME"/>
      <sheetName val="Cost Summary"/>
      <sheetName val="Sales"/>
      <sheetName val="H.Satuan"/>
      <sheetName val="000000"/>
      <sheetName val="A"/>
      <sheetName val="Analisa BOW 07"/>
      <sheetName val="BQ-TAHAP2"/>
      <sheetName val="Cover Daf_2"/>
      <sheetName val="Rate"/>
      <sheetName val="Upah_Bahan"/>
      <sheetName val="Mall"/>
      <sheetName val="Koefisien"/>
      <sheetName val="PL _5 LT "/>
      <sheetName val="Plumbing"/>
      <sheetName val="Harga 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TOTAL"/>
      <sheetName val="PRELIM"/>
      <sheetName val="TOWN"/>
      <sheetName val="BQ-TAMBAHAN"/>
      <sheetName val="INPUT"/>
      <sheetName val="Cover Daf_2"/>
      <sheetName val="Bill No.1"/>
      <sheetName val="ELEKTRIKAL"/>
      <sheetName val="SAT-DAS"/>
      <sheetName val="HARSAT"/>
      <sheetName val="DAF-1"/>
      <sheetName val="Material"/>
      <sheetName val="OUT"/>
      <sheetName val="CAT_HAR"/>
      <sheetName val="rINCIAN"/>
      <sheetName val="Cover Daf-2"/>
      <sheetName val="AHSbj"/>
      <sheetName val="Analisa"/>
      <sheetName val="DAF-2"/>
      <sheetName val="ANALISA TENDER"/>
      <sheetName val="Rekap"/>
      <sheetName val="ALAT"/>
      <sheetName val="Agregat Halus &amp; Kasar"/>
      <sheetName val="H.Satuan"/>
      <sheetName val="Summary "/>
      <sheetName val="UPAH PEKERJA"/>
      <sheetName val="Rekap Biaya"/>
      <sheetName val="Sheet1"/>
      <sheetName val="rab_analisa"/>
      <sheetName val="Infra"/>
      <sheetName val="Rekap Direct Cost"/>
      <sheetName val="ANAL KOEF"/>
      <sheetName val="ANL-PEK"/>
      <sheetName val="Bill No 2.1 "/>
      <sheetName val="BAG_2"/>
      <sheetName val="STR"/>
      <sheetName val="harga"/>
      <sheetName val="STR(CANCEL)"/>
      <sheetName val="BAG-2"/>
      <sheetName val="Price Biaya Cadangan"/>
      <sheetName val="BQ.Rekapitulasi  Akhir"/>
      <sheetName val="Harsat_El"/>
      <sheetName val="Sales"/>
      <sheetName val="Cover"/>
      <sheetName val="Koefisien"/>
      <sheetName val="rekap-analis"/>
      <sheetName val="H_Satuan"/>
      <sheetName val="HargaDsrBhn"/>
      <sheetName val="SBDY"/>
      <sheetName val="NP"/>
      <sheetName val="1.REK"/>
      <sheetName val="Normalisasi"/>
      <sheetName val="Produksi "/>
      <sheetName val="DSU-2"/>
      <sheetName val="AHS Marka"/>
      <sheetName val="SCHEDULE"/>
      <sheetName val="Sumber Daya"/>
      <sheetName val="BL"/>
      <sheetName val="rab me (by owner) "/>
      <sheetName val="BQ (by owner)"/>
      <sheetName val="rab me (fisik)"/>
      <sheetName val="formminat"/>
      <sheetName val="fill in first"/>
      <sheetName val="Form-3.3"/>
      <sheetName val="Monitor"/>
      <sheetName val="B"/>
      <sheetName val="SAP"/>
      <sheetName val="UPAHBAHAN"/>
      <sheetName val="Tataudara"/>
      <sheetName val="BQ_Rekapitulasi  Akhir"/>
      <sheetName val="D2.2"/>
      <sheetName val="A"/>
      <sheetName val="Daf 1 Prelim"/>
      <sheetName val="index"/>
      <sheetName val="BQ ARS"/>
      <sheetName val="2.1"/>
      <sheetName val="2.2"/>
      <sheetName val="ANALISA-1"/>
      <sheetName val="DAPRO"/>
      <sheetName val="DAFTAR ISI"/>
      <sheetName val="000000"/>
      <sheetName val="Rekap-Bdg"/>
      <sheetName val="REF.ONLY"/>
      <sheetName val="토공사B동추가"/>
      <sheetName val="ANALISA PEK.UMUM"/>
      <sheetName val="Bill No_1"/>
      <sheetName val="daf-3(OK)"/>
      <sheetName val="daf-7(OK)"/>
      <sheetName val="Bahan"/>
      <sheetName val="#REF!"/>
      <sheetName val="FINISHING"/>
      <sheetName val="div10"/>
      <sheetName val="boq"/>
      <sheetName val="AC"/>
      <sheetName val="ENG-101"/>
      <sheetName val="BQ-1A"/>
      <sheetName val="ARSITEKTUR"/>
      <sheetName val="BQ"/>
      <sheetName val="HARGA MATERIAL"/>
      <sheetName val="RKP.ANL"/>
      <sheetName val="Upah"/>
      <sheetName val="DKH"/>
      <sheetName val="DAF_2"/>
      <sheetName val="DAF_1"/>
      <sheetName val="mA THP I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nalisa SNI"/>
      <sheetName val="COVER"/>
      <sheetName val="RKP1"/>
      <sheetName val="RAB1"/>
      <sheetName val="ANL1"/>
      <sheetName val="BHN1"/>
      <sheetName val="RKPUS"/>
      <sheetName val="RABUS"/>
      <sheetName val="RKP5M"/>
      <sheetName val="RAB5M"/>
      <sheetName val="RKP2"/>
      <sheetName val="RAB2"/>
      <sheetName val="ANL2"/>
      <sheetName val="BHN2"/>
      <sheetName val="v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6">
          <cell r="F166">
            <v>45000</v>
          </cell>
        </row>
        <row r="167">
          <cell r="F167">
            <v>40000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ACC"/>
      <sheetName val="Pipa"/>
      <sheetName val="Lis supreme"/>
      <sheetName val="FED"/>
      <sheetName val="Equipment"/>
      <sheetName val="AC (2)"/>
      <sheetName val="VALVE"/>
      <sheetName val="Panel"/>
      <sheetName val="COVER"/>
      <sheetName val="GRAND TOTAL"/>
      <sheetName val="Prelim"/>
      <sheetName val="Feeder &amp; Panel"/>
      <sheetName val="Electrical"/>
      <sheetName val="Telp,TV &amp; Data"/>
      <sheetName val="CWP &amp; HWP"/>
      <sheetName val="SWP &amp; WWP"/>
      <sheetName val="RWP"/>
      <sheetName val="Sanitary"/>
      <sheetName val="POND"/>
      <sheetName val="SPA"/>
      <sheetName val="SW POOL"/>
      <sheetName val="AIR COND"/>
      <sheetName val="GENSET"/>
      <sheetName val="LPI"/>
      <sheetName val="DEEP WELL"/>
      <sheetName val="Provisional"/>
      <sheetName val="Sheet17"/>
      <sheetName val="Sheet18"/>
      <sheetName val="Sheet19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"/>
      <sheetName val="ME"/>
      <sheetName val="PLUMBING"/>
      <sheetName val=" Bahan"/>
      <sheetName val="Upah"/>
      <sheetName val="Analisa LUMAJANG SNI"/>
      <sheetName val="Analisa SNI STANDAR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55">
          <cell r="B155" t="str">
            <v>Bahan</v>
          </cell>
        </row>
        <row r="3144">
          <cell r="C3144" t="str">
            <v>Paku Kancing 60x230</v>
          </cell>
          <cell r="G3144">
            <v>0</v>
          </cell>
        </row>
        <row r="3145">
          <cell r="B3145" t="str">
            <v xml:space="preserve">Tenaga </v>
          </cell>
          <cell r="G3145">
            <v>0</v>
          </cell>
        </row>
        <row r="3146">
          <cell r="C3146" t="str">
            <v>Pekerja</v>
          </cell>
          <cell r="E3146" t="str">
            <v xml:space="preserve">Oh </v>
          </cell>
          <cell r="G3146">
            <v>0</v>
          </cell>
        </row>
        <row r="3147">
          <cell r="C3147" t="str">
            <v xml:space="preserve">Tukang Batu </v>
          </cell>
          <cell r="D3147">
            <v>0.56999999999999995</v>
          </cell>
          <cell r="E3147" t="str">
            <v xml:space="preserve"> Oh </v>
          </cell>
          <cell r="G3147">
            <v>0</v>
          </cell>
        </row>
        <row r="3148">
          <cell r="C3148" t="str">
            <v>Kep. Tukang Batu</v>
          </cell>
          <cell r="D3148">
            <v>0.12</v>
          </cell>
          <cell r="E3148" t="str">
            <v xml:space="preserve"> Oh </v>
          </cell>
          <cell r="G3148">
            <v>0</v>
          </cell>
        </row>
        <row r="3149">
          <cell r="C3149" t="str">
            <v>Mandor</v>
          </cell>
          <cell r="E3149" t="str">
            <v xml:space="preserve"> Oh </v>
          </cell>
          <cell r="G3149">
            <v>0</v>
          </cell>
        </row>
        <row r="3150">
          <cell r="D3150">
            <v>0.14000000000000001</v>
          </cell>
          <cell r="G3150">
            <v>0</v>
          </cell>
        </row>
        <row r="3151">
          <cell r="B3151" t="str">
            <v>1 M2 Pas. Bubung Stel Gel ( 0.92 m )</v>
          </cell>
          <cell r="D3151">
            <v>6.7000000000000004E-2</v>
          </cell>
          <cell r="G3151">
            <v>0</v>
          </cell>
        </row>
        <row r="3152">
          <cell r="B3152" t="str">
            <v xml:space="preserve">Bahan </v>
          </cell>
          <cell r="D3152">
            <v>7.0000000000000001E-3</v>
          </cell>
          <cell r="G3152">
            <v>0</v>
          </cell>
        </row>
        <row r="3153">
          <cell r="C3153" t="str">
            <v xml:space="preserve">Bubung Stel Gelombang </v>
          </cell>
          <cell r="D3153">
            <v>7.0000000000000001E-3</v>
          </cell>
          <cell r="G3153">
            <v>0</v>
          </cell>
        </row>
        <row r="3154">
          <cell r="C3154" t="str">
            <v>Paku Sekerup 3,5"</v>
          </cell>
          <cell r="G3154">
            <v>0</v>
          </cell>
        </row>
        <row r="3155">
          <cell r="B3155" t="str">
            <v xml:space="preserve">Tenaga </v>
          </cell>
          <cell r="G3155">
            <v>0</v>
          </cell>
        </row>
        <row r="3156">
          <cell r="C3156" t="str">
            <v>Pekerja</v>
          </cell>
          <cell r="E3156" t="str">
            <v xml:space="preserve">Oh </v>
          </cell>
          <cell r="G3156">
            <v>0</v>
          </cell>
        </row>
        <row r="3157">
          <cell r="C3157" t="str">
            <v>Tukang Kayu</v>
          </cell>
          <cell r="D3157">
            <v>2.4</v>
          </cell>
          <cell r="E3157" t="str">
            <v xml:space="preserve"> Oh </v>
          </cell>
          <cell r="G3157">
            <v>0</v>
          </cell>
        </row>
        <row r="3158">
          <cell r="C3158" t="str">
            <v>Kep. Tukang Kayu</v>
          </cell>
          <cell r="D3158">
            <v>6</v>
          </cell>
          <cell r="E3158" t="str">
            <v xml:space="preserve"> Oh </v>
          </cell>
          <cell r="G3158">
            <v>0</v>
          </cell>
        </row>
        <row r="3159">
          <cell r="C3159" t="str">
            <v>Mandor</v>
          </cell>
          <cell r="E3159" t="str">
            <v xml:space="preserve"> Oh </v>
          </cell>
          <cell r="G3159">
            <v>0</v>
          </cell>
        </row>
        <row r="3160">
          <cell r="D3160">
            <v>8.4000000000000005E-2</v>
          </cell>
          <cell r="G3160">
            <v>0</v>
          </cell>
        </row>
        <row r="3161">
          <cell r="B3161" t="str">
            <v>1 M2 Pas. Nok Stel Gelombang ( 1.05 m )</v>
          </cell>
          <cell r="D3161">
            <v>0.125</v>
          </cell>
          <cell r="G3161">
            <v>0</v>
          </cell>
        </row>
        <row r="3162">
          <cell r="B3162" t="str">
            <v xml:space="preserve">Bahan </v>
          </cell>
          <cell r="D3162">
            <v>1.2999999999999999E-2</v>
          </cell>
          <cell r="G3162">
            <v>0</v>
          </cell>
        </row>
        <row r="3163">
          <cell r="C3163" t="str">
            <v xml:space="preserve">Nok Stel Gelombang </v>
          </cell>
          <cell r="D3163">
            <v>4.0000000000000001E-3</v>
          </cell>
          <cell r="G3163">
            <v>0</v>
          </cell>
        </row>
        <row r="3164">
          <cell r="C3164" t="str">
            <v>Paku Sekerup 3,5"</v>
          </cell>
          <cell r="G3164">
            <v>0</v>
          </cell>
        </row>
        <row r="3165">
          <cell r="B3165" t="str">
            <v xml:space="preserve">Tenaga </v>
          </cell>
          <cell r="G3165">
            <v>0</v>
          </cell>
        </row>
        <row r="3166">
          <cell r="C3166" t="str">
            <v>Pekerja</v>
          </cell>
          <cell r="E3166" t="str">
            <v xml:space="preserve">Oh </v>
          </cell>
          <cell r="G3166">
            <v>0</v>
          </cell>
        </row>
        <row r="3167">
          <cell r="C3167" t="str">
            <v>Tukang Kayu</v>
          </cell>
          <cell r="D3167">
            <v>2.1</v>
          </cell>
          <cell r="E3167" t="str">
            <v xml:space="preserve"> Oh </v>
          </cell>
          <cell r="G3167">
            <v>0</v>
          </cell>
        </row>
        <row r="3168">
          <cell r="C3168" t="str">
            <v>Kep. Tukang Kayu</v>
          </cell>
          <cell r="D3168">
            <v>6</v>
          </cell>
          <cell r="E3168" t="str">
            <v xml:space="preserve"> Oh </v>
          </cell>
          <cell r="G3168">
            <v>0</v>
          </cell>
        </row>
        <row r="3169">
          <cell r="C3169" t="str">
            <v>Mandor</v>
          </cell>
          <cell r="E3169" t="str">
            <v xml:space="preserve"> Oh </v>
          </cell>
          <cell r="G3169">
            <v>0</v>
          </cell>
        </row>
        <row r="3170">
          <cell r="D3170">
            <v>8.4000000000000005E-2</v>
          </cell>
          <cell r="G3170">
            <v>0</v>
          </cell>
        </row>
        <row r="3171">
          <cell r="B3171" t="str">
            <v>1 M2 Pas. Nok Stel Gelombang ( 1.08 m )</v>
          </cell>
          <cell r="D3171">
            <v>0.125</v>
          </cell>
          <cell r="G3171">
            <v>0</v>
          </cell>
        </row>
        <row r="3172">
          <cell r="D3172">
            <v>1.2999999999999999E-2</v>
          </cell>
          <cell r="G3172">
            <v>0</v>
          </cell>
        </row>
        <row r="3173">
          <cell r="B3173" t="str">
            <v xml:space="preserve">Bahan </v>
          </cell>
          <cell r="D3173">
            <v>4.0000000000000001E-3</v>
          </cell>
          <cell r="G3173">
            <v>0</v>
          </cell>
        </row>
        <row r="3174">
          <cell r="C3174" t="str">
            <v xml:space="preserve">Nok Stel Gelombang </v>
          </cell>
          <cell r="E3174" t="str">
            <v>lbr</v>
          </cell>
          <cell r="G3174">
            <v>0</v>
          </cell>
        </row>
        <row r="3175">
          <cell r="C3175" t="str">
            <v>Paku Sekerup 3,5"</v>
          </cell>
          <cell r="E3175" t="str">
            <v>bh</v>
          </cell>
          <cell r="G3175">
            <v>0</v>
          </cell>
        </row>
        <row r="3176">
          <cell r="B3176" t="str">
            <v xml:space="preserve">Tenaga </v>
          </cell>
          <cell r="G3176">
            <v>0</v>
          </cell>
        </row>
        <row r="3177">
          <cell r="C3177" t="str">
            <v>Pekerja</v>
          </cell>
          <cell r="E3177" t="str">
            <v xml:space="preserve">Oh </v>
          </cell>
          <cell r="G3177">
            <v>0</v>
          </cell>
        </row>
        <row r="3178">
          <cell r="C3178" t="str">
            <v>Tukang Kayu</v>
          </cell>
          <cell r="D3178">
            <v>2.0499999999999998</v>
          </cell>
          <cell r="E3178" t="str">
            <v xml:space="preserve"> Oh </v>
          </cell>
          <cell r="G3178">
            <v>0</v>
          </cell>
        </row>
        <row r="3179">
          <cell r="C3179" t="str">
            <v>Kep. Tukang Kayu</v>
          </cell>
          <cell r="D3179">
            <v>6</v>
          </cell>
          <cell r="E3179" t="str">
            <v xml:space="preserve"> Oh </v>
          </cell>
          <cell r="G3179">
            <v>0</v>
          </cell>
        </row>
        <row r="3180">
          <cell r="C3180" t="str">
            <v>Mandor</v>
          </cell>
          <cell r="E3180" t="str">
            <v xml:space="preserve"> Oh </v>
          </cell>
          <cell r="G3180">
            <v>0</v>
          </cell>
        </row>
        <row r="3181">
          <cell r="D3181">
            <v>8.4000000000000005E-2</v>
          </cell>
          <cell r="G3181">
            <v>0</v>
          </cell>
        </row>
        <row r="3182">
          <cell r="B3182" t="str">
            <v>1 M2 Pas. Nok Paten ( 0.92 m' )</v>
          </cell>
          <cell r="D3182">
            <v>0.125</v>
          </cell>
          <cell r="G3182">
            <v>0</v>
          </cell>
        </row>
        <row r="3183">
          <cell r="B3183" t="str">
            <v xml:space="preserve">Bahan </v>
          </cell>
          <cell r="D3183">
            <v>1.2999999999999999E-2</v>
          </cell>
          <cell r="G3183">
            <v>0</v>
          </cell>
        </row>
        <row r="3184">
          <cell r="C3184" t="str">
            <v>Nok Paten</v>
          </cell>
          <cell r="D3184">
            <v>4.0000000000000001E-3</v>
          </cell>
          <cell r="E3184" t="str">
            <v>lbr</v>
          </cell>
          <cell r="G3184">
            <v>0</v>
          </cell>
        </row>
        <row r="3185">
          <cell r="C3185" t="str">
            <v>Paku Sekerup 3,5"</v>
          </cell>
          <cell r="E3185" t="str">
            <v>bh</v>
          </cell>
          <cell r="G3185">
            <v>0</v>
          </cell>
        </row>
        <row r="3186">
          <cell r="B3186" t="str">
            <v xml:space="preserve">Tenaga </v>
          </cell>
          <cell r="G3186">
            <v>0</v>
          </cell>
        </row>
        <row r="3187">
          <cell r="C3187" t="str">
            <v>Pekerja</v>
          </cell>
          <cell r="E3187" t="str">
            <v xml:space="preserve">Oh </v>
          </cell>
          <cell r="G3187">
            <v>0</v>
          </cell>
        </row>
        <row r="3188">
          <cell r="C3188" t="str">
            <v>Tukang Kayu</v>
          </cell>
          <cell r="D3188">
            <v>2.4</v>
          </cell>
          <cell r="E3188" t="str">
            <v xml:space="preserve"> Oh </v>
          </cell>
          <cell r="G3188">
            <v>0</v>
          </cell>
        </row>
        <row r="3189">
          <cell r="C3189" t="str">
            <v>Kep. Tukang Kayu</v>
          </cell>
          <cell r="D3189">
            <v>6</v>
          </cell>
          <cell r="E3189" t="str">
            <v xml:space="preserve"> Oh </v>
          </cell>
          <cell r="G3189">
            <v>0</v>
          </cell>
        </row>
        <row r="3190">
          <cell r="C3190" t="str">
            <v>Mandor</v>
          </cell>
          <cell r="E3190" t="str">
            <v xml:space="preserve"> Oh </v>
          </cell>
          <cell r="G3190">
            <v>0</v>
          </cell>
        </row>
        <row r="3191">
          <cell r="D3191">
            <v>8.4000000000000005E-2</v>
          </cell>
          <cell r="G3191">
            <v>0</v>
          </cell>
        </row>
        <row r="3192">
          <cell r="B3192" t="str">
            <v>1 M2 Pas. Nok Paten ( 1.05 m' )</v>
          </cell>
          <cell r="D3192">
            <v>0.125</v>
          </cell>
          <cell r="G3192">
            <v>0</v>
          </cell>
        </row>
        <row r="3193">
          <cell r="B3193" t="str">
            <v xml:space="preserve">Bahan </v>
          </cell>
          <cell r="D3193">
            <v>1.2999999999999999E-2</v>
          </cell>
          <cell r="G3193">
            <v>0</v>
          </cell>
        </row>
        <row r="3194">
          <cell r="C3194" t="str">
            <v>Nok Paten</v>
          </cell>
          <cell r="D3194">
            <v>4.0000000000000001E-3</v>
          </cell>
          <cell r="E3194" t="str">
            <v>lbr</v>
          </cell>
          <cell r="G3194">
            <v>0</v>
          </cell>
        </row>
        <row r="3195">
          <cell r="C3195" t="str">
            <v>Paku Sekerup 3,5"</v>
          </cell>
          <cell r="E3195" t="str">
            <v>bh</v>
          </cell>
          <cell r="G3195">
            <v>0</v>
          </cell>
        </row>
        <row r="3196">
          <cell r="B3196" t="str">
            <v xml:space="preserve">Tenaga </v>
          </cell>
          <cell r="G3196">
            <v>0</v>
          </cell>
        </row>
        <row r="3197">
          <cell r="C3197" t="str">
            <v>Pekerja</v>
          </cell>
          <cell r="E3197" t="str">
            <v xml:space="preserve">Oh </v>
          </cell>
          <cell r="G3197">
            <v>0</v>
          </cell>
        </row>
        <row r="3198">
          <cell r="C3198" t="str">
            <v>Tukang Kayu</v>
          </cell>
          <cell r="D3198">
            <v>1.2</v>
          </cell>
          <cell r="E3198" t="str">
            <v xml:space="preserve"> Oh </v>
          </cell>
          <cell r="G3198">
            <v>0</v>
          </cell>
        </row>
        <row r="3199">
          <cell r="C3199" t="str">
            <v>Kep. Tukang Kayu</v>
          </cell>
          <cell r="D3199">
            <v>6</v>
          </cell>
          <cell r="E3199" t="str">
            <v xml:space="preserve"> Oh </v>
          </cell>
          <cell r="G3199">
            <v>0</v>
          </cell>
        </row>
        <row r="3200">
          <cell r="C3200" t="str">
            <v>Mandor</v>
          </cell>
          <cell r="E3200" t="str">
            <v xml:space="preserve"> Oh </v>
          </cell>
          <cell r="G3200">
            <v>0</v>
          </cell>
        </row>
        <row r="3201">
          <cell r="D3201">
            <v>8.4000000000000005E-2</v>
          </cell>
          <cell r="G3201">
            <v>0</v>
          </cell>
        </row>
        <row r="3202">
          <cell r="B3202" t="str">
            <v>1 M2 Pas. Nok Stel Rata ( 0.92 m )</v>
          </cell>
          <cell r="D3202">
            <v>0.125</v>
          </cell>
          <cell r="G3202">
            <v>0</v>
          </cell>
        </row>
        <row r="3203">
          <cell r="B3203" t="str">
            <v xml:space="preserve">Bahan </v>
          </cell>
          <cell r="D3203">
            <v>1.2999999999999999E-2</v>
          </cell>
          <cell r="G3203">
            <v>0</v>
          </cell>
        </row>
        <row r="3204">
          <cell r="C3204" t="str">
            <v>Nok Stel rata</v>
          </cell>
          <cell r="D3204">
            <v>4.0000000000000001E-3</v>
          </cell>
          <cell r="E3204" t="str">
            <v>lbr</v>
          </cell>
          <cell r="G3204">
            <v>0</v>
          </cell>
        </row>
        <row r="3205">
          <cell r="C3205" t="str">
            <v>Paku Sekerup 3,5"</v>
          </cell>
          <cell r="E3205" t="str">
            <v>bh</v>
          </cell>
          <cell r="G3205">
            <v>0</v>
          </cell>
        </row>
        <row r="3206">
          <cell r="B3206" t="str">
            <v xml:space="preserve">Tenaga </v>
          </cell>
          <cell r="G3206">
            <v>0</v>
          </cell>
        </row>
        <row r="3207">
          <cell r="C3207" t="str">
            <v>Pekerja</v>
          </cell>
          <cell r="E3207" t="str">
            <v xml:space="preserve">Oh </v>
          </cell>
          <cell r="G3207">
            <v>0</v>
          </cell>
        </row>
        <row r="3208">
          <cell r="C3208" t="str">
            <v>Tukang Kayu</v>
          </cell>
          <cell r="D3208">
            <v>1.1000000000000001</v>
          </cell>
          <cell r="E3208" t="str">
            <v xml:space="preserve"> Oh </v>
          </cell>
          <cell r="G3208">
            <v>0</v>
          </cell>
        </row>
        <row r="3209">
          <cell r="C3209" t="str">
            <v>Kep. Tukang Kayu</v>
          </cell>
          <cell r="D3209">
            <v>6</v>
          </cell>
          <cell r="E3209" t="str">
            <v xml:space="preserve"> Oh </v>
          </cell>
          <cell r="G3209">
            <v>0</v>
          </cell>
        </row>
        <row r="3210">
          <cell r="C3210" t="str">
            <v>Mandor</v>
          </cell>
          <cell r="E3210" t="str">
            <v xml:space="preserve"> Oh </v>
          </cell>
          <cell r="G3210">
            <v>0</v>
          </cell>
        </row>
        <row r="3211">
          <cell r="D3211">
            <v>8.4000000000000005E-2</v>
          </cell>
          <cell r="G3211">
            <v>0</v>
          </cell>
        </row>
        <row r="3212">
          <cell r="B3212" t="str">
            <v>1 M2 Pas. Nok Stel Rata ( 1.05 m )</v>
          </cell>
          <cell r="D3212">
            <v>0.125</v>
          </cell>
          <cell r="G3212">
            <v>0</v>
          </cell>
        </row>
        <row r="3213">
          <cell r="B3213" t="str">
            <v xml:space="preserve">Bahan </v>
          </cell>
          <cell r="D3213">
            <v>1.2999999999999999E-2</v>
          </cell>
          <cell r="G3213">
            <v>0</v>
          </cell>
        </row>
        <row r="3214">
          <cell r="C3214" t="str">
            <v>Nok Stel rata</v>
          </cell>
          <cell r="D3214">
            <v>4.0000000000000001E-3</v>
          </cell>
          <cell r="E3214" t="str">
            <v>lbr</v>
          </cell>
          <cell r="G3214">
            <v>0</v>
          </cell>
        </row>
        <row r="3215">
          <cell r="C3215" t="str">
            <v>Paku Sekerup 3,5"</v>
          </cell>
          <cell r="E3215" t="str">
            <v>bh</v>
          </cell>
          <cell r="G3215">
            <v>0</v>
          </cell>
        </row>
        <row r="3216">
          <cell r="B3216" t="str">
            <v xml:space="preserve">Tenaga </v>
          </cell>
          <cell r="G3216">
            <v>0</v>
          </cell>
        </row>
        <row r="3217">
          <cell r="C3217" t="str">
            <v>Pekerja</v>
          </cell>
          <cell r="E3217" t="str">
            <v xml:space="preserve">Oh </v>
          </cell>
          <cell r="G3217">
            <v>0</v>
          </cell>
        </row>
        <row r="3218">
          <cell r="C3218" t="str">
            <v>Tukang Kayu</v>
          </cell>
          <cell r="D3218">
            <v>1.1000000000000001</v>
          </cell>
          <cell r="E3218" t="str">
            <v xml:space="preserve"> Oh </v>
          </cell>
          <cell r="G3218">
            <v>0</v>
          </cell>
        </row>
        <row r="3219">
          <cell r="C3219" t="str">
            <v>Kep. Tukang Kayu</v>
          </cell>
          <cell r="D3219">
            <v>6</v>
          </cell>
          <cell r="E3219" t="str">
            <v xml:space="preserve"> Oh </v>
          </cell>
          <cell r="G3219">
            <v>0</v>
          </cell>
        </row>
        <row r="3220">
          <cell r="C3220" t="str">
            <v>Mandor</v>
          </cell>
          <cell r="E3220" t="str">
            <v xml:space="preserve"> Oh </v>
          </cell>
          <cell r="G3220">
            <v>0</v>
          </cell>
        </row>
        <row r="3221">
          <cell r="D3221">
            <v>8.4000000000000005E-2</v>
          </cell>
          <cell r="G3221">
            <v>0</v>
          </cell>
        </row>
        <row r="3222">
          <cell r="B3222" t="str">
            <v>1 M2 Pas.atap Genteng Beton</v>
          </cell>
          <cell r="D3222">
            <v>0.125</v>
          </cell>
          <cell r="G3222">
            <v>0</v>
          </cell>
        </row>
        <row r="3223">
          <cell r="B3223" t="str">
            <v xml:space="preserve">Bahan </v>
          </cell>
          <cell r="D3223">
            <v>1.2999999999999999E-2</v>
          </cell>
          <cell r="G3223">
            <v>0</v>
          </cell>
        </row>
        <row r="3224">
          <cell r="C3224" t="str">
            <v>Genteng Beton</v>
          </cell>
          <cell r="D3224">
            <v>4.0000000000000001E-3</v>
          </cell>
          <cell r="E3224" t="str">
            <v>lbr</v>
          </cell>
          <cell r="G3224">
            <v>0</v>
          </cell>
        </row>
        <row r="3225">
          <cell r="C3225" t="str">
            <v>Paku 2"-5"</v>
          </cell>
          <cell r="E3225" t="str">
            <v>kg</v>
          </cell>
          <cell r="G3225">
            <v>0</v>
          </cell>
        </row>
        <row r="3226">
          <cell r="B3226" t="str">
            <v xml:space="preserve">Tenaga </v>
          </cell>
          <cell r="G3226">
            <v>0</v>
          </cell>
        </row>
        <row r="3227">
          <cell r="C3227" t="str">
            <v>Pekerja</v>
          </cell>
          <cell r="E3227" t="str">
            <v xml:space="preserve">Oh </v>
          </cell>
          <cell r="G3227">
            <v>0</v>
          </cell>
        </row>
        <row r="3228">
          <cell r="C3228" t="str">
            <v>Tukang Kayu</v>
          </cell>
          <cell r="D3228">
            <v>11</v>
          </cell>
          <cell r="E3228" t="str">
            <v xml:space="preserve"> Oh </v>
          </cell>
          <cell r="G3228">
            <v>0</v>
          </cell>
        </row>
        <row r="3229">
          <cell r="C3229" t="str">
            <v>Kep. Tukang Kayu</v>
          </cell>
          <cell r="D3229">
            <v>0.03</v>
          </cell>
          <cell r="E3229" t="str">
            <v xml:space="preserve"> Oh </v>
          </cell>
          <cell r="G3229">
            <v>0</v>
          </cell>
        </row>
        <row r="3230">
          <cell r="C3230" t="str">
            <v>Mandor</v>
          </cell>
          <cell r="E3230" t="str">
            <v xml:space="preserve"> Oh </v>
          </cell>
          <cell r="G3230">
            <v>0</v>
          </cell>
        </row>
        <row r="3231">
          <cell r="D3231">
            <v>0.2</v>
          </cell>
          <cell r="G3231">
            <v>0</v>
          </cell>
        </row>
        <row r="3232">
          <cell r="B3232" t="str">
            <v>1 M2 Pas.atap Genteng aspal</v>
          </cell>
          <cell r="D3232">
            <v>0.1</v>
          </cell>
          <cell r="G3232">
            <v>0</v>
          </cell>
        </row>
        <row r="3233">
          <cell r="B3233" t="str">
            <v xml:space="preserve">Bahan </v>
          </cell>
          <cell r="D3233">
            <v>0.01</v>
          </cell>
          <cell r="G3233">
            <v>0</v>
          </cell>
        </row>
        <row r="3234">
          <cell r="C3234" t="str">
            <v>Genteng Aspal</v>
          </cell>
          <cell r="D3234">
            <v>0.01</v>
          </cell>
          <cell r="E3234" t="str">
            <v>lbr</v>
          </cell>
          <cell r="G3234">
            <v>0</v>
          </cell>
        </row>
        <row r="3235">
          <cell r="C3235" t="str">
            <v>Plywood 4" X 8" X 6 mm</v>
          </cell>
          <cell r="E3235" t="str">
            <v>lbr</v>
          </cell>
          <cell r="G3235">
            <v>0</v>
          </cell>
        </row>
        <row r="3236">
          <cell r="C3236" t="str">
            <v>Paku biasa 1/2" - 1"</v>
          </cell>
          <cell r="E3236" t="str">
            <v>kg</v>
          </cell>
          <cell r="G3236">
            <v>0</v>
          </cell>
        </row>
        <row r="3237">
          <cell r="C3237" t="str">
            <v>Plastic aerator</v>
          </cell>
          <cell r="E3237" t="str">
            <v>bh</v>
          </cell>
          <cell r="G3237">
            <v>0</v>
          </cell>
        </row>
        <row r="3238">
          <cell r="D3238">
            <v>6.9</v>
          </cell>
          <cell r="G3238">
            <v>0</v>
          </cell>
        </row>
        <row r="3239">
          <cell r="B3239" t="str">
            <v xml:space="preserve">Tenaga </v>
          </cell>
          <cell r="D3239">
            <v>0.35</v>
          </cell>
          <cell r="G3239">
            <v>0</v>
          </cell>
        </row>
        <row r="3240">
          <cell r="C3240" t="str">
            <v>Pekerja</v>
          </cell>
          <cell r="D3240">
            <v>0.03</v>
          </cell>
          <cell r="E3240" t="str">
            <v xml:space="preserve">Oh </v>
          </cell>
          <cell r="G3240">
            <v>0</v>
          </cell>
        </row>
        <row r="3241">
          <cell r="C3241" t="str">
            <v>Tukang Kayu</v>
          </cell>
          <cell r="D3241">
            <v>0.5</v>
          </cell>
          <cell r="E3241" t="str">
            <v xml:space="preserve"> Oh </v>
          </cell>
          <cell r="G3241">
            <v>0</v>
          </cell>
        </row>
        <row r="3242">
          <cell r="C3242" t="str">
            <v>Kep. Tukang Kayu</v>
          </cell>
          <cell r="E3242" t="str">
            <v xml:space="preserve"> Oh </v>
          </cell>
          <cell r="G3242">
            <v>0</v>
          </cell>
        </row>
        <row r="3243">
          <cell r="C3243" t="str">
            <v>Mandor</v>
          </cell>
          <cell r="E3243" t="str">
            <v xml:space="preserve"> Oh </v>
          </cell>
          <cell r="G3243">
            <v>0</v>
          </cell>
        </row>
        <row r="3244">
          <cell r="D3244">
            <v>0.2</v>
          </cell>
          <cell r="G3244">
            <v>0</v>
          </cell>
        </row>
        <row r="3245">
          <cell r="B3245" t="str">
            <v>1 M2 Pas. Atap genteng metal</v>
          </cell>
          <cell r="D3245">
            <v>0.3</v>
          </cell>
          <cell r="G3245">
            <v>0</v>
          </cell>
        </row>
        <row r="3246">
          <cell r="B3246" t="str">
            <v xml:space="preserve">Bahan </v>
          </cell>
          <cell r="D3246">
            <v>3.0000000000000001E-3</v>
          </cell>
          <cell r="G3246">
            <v>0</v>
          </cell>
        </row>
        <row r="3247">
          <cell r="C3247" t="str">
            <v>Genteng metal</v>
          </cell>
          <cell r="D3247">
            <v>0.01</v>
          </cell>
          <cell r="E3247" t="str">
            <v>lbr</v>
          </cell>
          <cell r="G3247">
            <v>0</v>
          </cell>
        </row>
        <row r="3248">
          <cell r="C3248" t="str">
            <v>Paku biasa 2" - 5"</v>
          </cell>
          <cell r="E3248" t="str">
            <v>kg</v>
          </cell>
          <cell r="G3248">
            <v>0</v>
          </cell>
        </row>
        <row r="3249">
          <cell r="B3249" t="str">
            <v xml:space="preserve">Tenaga </v>
          </cell>
          <cell r="G3249">
            <v>0</v>
          </cell>
        </row>
        <row r="3250">
          <cell r="C3250" t="str">
            <v>Pekerja</v>
          </cell>
          <cell r="E3250" t="str">
            <v xml:space="preserve">Oh </v>
          </cell>
          <cell r="G3250">
            <v>0</v>
          </cell>
        </row>
        <row r="3251">
          <cell r="C3251" t="str">
            <v>Tukang Kayu</v>
          </cell>
          <cell r="D3251">
            <v>1.02</v>
          </cell>
          <cell r="E3251" t="str">
            <v xml:space="preserve"> Oh </v>
          </cell>
          <cell r="G3251">
            <v>0</v>
          </cell>
        </row>
        <row r="3252">
          <cell r="C3252" t="str">
            <v>Kep. Tukang Kayu</v>
          </cell>
          <cell r="D3252">
            <v>0.2</v>
          </cell>
          <cell r="E3252" t="str">
            <v xml:space="preserve"> Oh </v>
          </cell>
          <cell r="G3252">
            <v>0</v>
          </cell>
        </row>
        <row r="3253">
          <cell r="C3253" t="str">
            <v>Mandor</v>
          </cell>
          <cell r="E3253" t="str">
            <v xml:space="preserve"> Oh </v>
          </cell>
          <cell r="G3253">
            <v>0</v>
          </cell>
        </row>
        <row r="3254">
          <cell r="D3254">
            <v>0.2</v>
          </cell>
          <cell r="G3254">
            <v>0</v>
          </cell>
        </row>
        <row r="3255">
          <cell r="B3255" t="str">
            <v>1 M2 Pas. Atap sirap</v>
          </cell>
          <cell r="D3255">
            <v>0.1</v>
          </cell>
          <cell r="G3255">
            <v>0</v>
          </cell>
        </row>
        <row r="3256">
          <cell r="B3256" t="str">
            <v xml:space="preserve">Bahan </v>
          </cell>
          <cell r="D3256">
            <v>0.01</v>
          </cell>
          <cell r="G3256">
            <v>0</v>
          </cell>
        </row>
        <row r="3257">
          <cell r="C3257" t="str">
            <v>Genteng Sirap</v>
          </cell>
          <cell r="D3257">
            <v>0.01</v>
          </cell>
          <cell r="E3257" t="str">
            <v>bh</v>
          </cell>
          <cell r="G3257">
            <v>0</v>
          </cell>
        </row>
        <row r="3258">
          <cell r="C3258" t="str">
            <v>Paku biasa 1/2" - 1"</v>
          </cell>
          <cell r="E3258" t="str">
            <v>kg</v>
          </cell>
          <cell r="G3258">
            <v>0</v>
          </cell>
        </row>
        <row r="3259">
          <cell r="B3259" t="str">
            <v xml:space="preserve">Tenaga </v>
          </cell>
          <cell r="G3259">
            <v>0</v>
          </cell>
        </row>
        <row r="3260">
          <cell r="C3260" t="str">
            <v>Pekerja</v>
          </cell>
          <cell r="E3260" t="str">
            <v xml:space="preserve">Oh </v>
          </cell>
          <cell r="G3260">
            <v>0</v>
          </cell>
        </row>
        <row r="3261">
          <cell r="C3261" t="str">
            <v>Tukang Kayu</v>
          </cell>
          <cell r="D3261">
            <v>60</v>
          </cell>
          <cell r="E3261" t="str">
            <v xml:space="preserve"> Oh </v>
          </cell>
          <cell r="G3261">
            <v>0</v>
          </cell>
        </row>
        <row r="3262">
          <cell r="C3262" t="str">
            <v>Kep. Tukang Kayu</v>
          </cell>
          <cell r="D3262">
            <v>0.2</v>
          </cell>
          <cell r="E3262" t="str">
            <v xml:space="preserve"> Oh </v>
          </cell>
          <cell r="G3262">
            <v>0</v>
          </cell>
        </row>
        <row r="3263">
          <cell r="C3263" t="str">
            <v>Mandor</v>
          </cell>
          <cell r="E3263" t="str">
            <v xml:space="preserve"> Oh </v>
          </cell>
          <cell r="G3263">
            <v>0</v>
          </cell>
        </row>
        <row r="3264">
          <cell r="D3264">
            <v>0.16600000000000001</v>
          </cell>
          <cell r="G3264">
            <v>0</v>
          </cell>
        </row>
        <row r="3265">
          <cell r="B3265" t="str">
            <v>1 M2 Pas. Atap sirap</v>
          </cell>
          <cell r="D3265">
            <v>0.25</v>
          </cell>
          <cell r="G3265">
            <v>0</v>
          </cell>
        </row>
        <row r="3266">
          <cell r="B3266" t="str">
            <v xml:space="preserve">Bahan </v>
          </cell>
          <cell r="D3266">
            <v>2.5000000000000001E-2</v>
          </cell>
          <cell r="G3266">
            <v>0</v>
          </cell>
        </row>
        <row r="3267">
          <cell r="C3267" t="str">
            <v>Genteng Sirap</v>
          </cell>
          <cell r="D3267">
            <v>8.0000000000000002E-3</v>
          </cell>
          <cell r="E3267" t="str">
            <v>bh</v>
          </cell>
          <cell r="G3267">
            <v>0</v>
          </cell>
        </row>
        <row r="3268">
          <cell r="C3268" t="str">
            <v>Paku biasa 1/2" - 1"</v>
          </cell>
          <cell r="E3268" t="str">
            <v>kg</v>
          </cell>
          <cell r="G3268">
            <v>0</v>
          </cell>
        </row>
        <row r="3269">
          <cell r="B3269" t="str">
            <v xml:space="preserve">Tenaga </v>
          </cell>
          <cell r="G3269">
            <v>0</v>
          </cell>
        </row>
        <row r="3270">
          <cell r="C3270" t="str">
            <v>Pekerja</v>
          </cell>
          <cell r="E3270" t="str">
            <v xml:space="preserve">Oh </v>
          </cell>
          <cell r="G3270">
            <v>0</v>
          </cell>
        </row>
        <row r="3271">
          <cell r="C3271" t="str">
            <v>Tukang Kayu</v>
          </cell>
          <cell r="D3271">
            <v>60</v>
          </cell>
          <cell r="E3271" t="str">
            <v xml:space="preserve"> Oh </v>
          </cell>
          <cell r="G3271">
            <v>0</v>
          </cell>
        </row>
        <row r="3272">
          <cell r="C3272" t="str">
            <v>Kep. Tukang Kayu</v>
          </cell>
          <cell r="D3272">
            <v>0.2</v>
          </cell>
          <cell r="E3272" t="str">
            <v xml:space="preserve"> Oh </v>
          </cell>
          <cell r="G3272">
            <v>0</v>
          </cell>
        </row>
        <row r="3273">
          <cell r="C3273" t="str">
            <v>Mandor</v>
          </cell>
          <cell r="E3273" t="str">
            <v xml:space="preserve"> Oh </v>
          </cell>
          <cell r="G3273">
            <v>0</v>
          </cell>
        </row>
        <row r="3274">
          <cell r="D3274">
            <v>0.16600000000000001</v>
          </cell>
          <cell r="G3274">
            <v>0</v>
          </cell>
        </row>
        <row r="3275">
          <cell r="B3275" t="str">
            <v>1 M2 Pas. Nok genteng beton</v>
          </cell>
          <cell r="D3275">
            <v>0.25</v>
          </cell>
          <cell r="G3275">
            <v>0</v>
          </cell>
        </row>
        <row r="3276">
          <cell r="B3276" t="str">
            <v xml:space="preserve">Bahan </v>
          </cell>
          <cell r="D3276">
            <v>2.5000000000000001E-2</v>
          </cell>
          <cell r="G3276">
            <v>0</v>
          </cell>
        </row>
        <row r="3277">
          <cell r="C3277" t="str">
            <v>Nok Genteng Beton</v>
          </cell>
          <cell r="D3277">
            <v>8.0000000000000002E-3</v>
          </cell>
          <cell r="E3277" t="str">
            <v>bh</v>
          </cell>
          <cell r="G3277">
            <v>0</v>
          </cell>
        </row>
        <row r="3278">
          <cell r="C3278" t="str">
            <v>Paku biasa 2" X 5"</v>
          </cell>
          <cell r="E3278" t="str">
            <v>kg</v>
          </cell>
          <cell r="G3278">
            <v>0</v>
          </cell>
        </row>
        <row r="3279">
          <cell r="C3279" t="str">
            <v>Semen Abu-abu</v>
          </cell>
          <cell r="E3279" t="str">
            <v>kg</v>
          </cell>
          <cell r="G3279">
            <v>0</v>
          </cell>
        </row>
        <row r="3280">
          <cell r="C3280" t="str">
            <v>Pasir Pasang</v>
          </cell>
          <cell r="E3280" t="str">
            <v>m3</v>
          </cell>
          <cell r="G3280">
            <v>0</v>
          </cell>
        </row>
        <row r="3281">
          <cell r="C3281" t="str">
            <v>Semen Warna</v>
          </cell>
          <cell r="D3281">
            <v>3.5</v>
          </cell>
          <cell r="E3281" t="str">
            <v>kg</v>
          </cell>
          <cell r="G3281">
            <v>0</v>
          </cell>
        </row>
        <row r="3282">
          <cell r="D3282">
            <v>0.05</v>
          </cell>
          <cell r="G3282">
            <v>0</v>
          </cell>
        </row>
        <row r="3283">
          <cell r="B3283" t="str">
            <v xml:space="preserve">Tenaga </v>
          </cell>
          <cell r="D3283">
            <v>10.8</v>
          </cell>
          <cell r="G3283">
            <v>0</v>
          </cell>
        </row>
        <row r="3284">
          <cell r="C3284" t="str">
            <v>Pekerja</v>
          </cell>
          <cell r="D3284">
            <v>3.2000000000000001E-2</v>
          </cell>
          <cell r="E3284" t="str">
            <v xml:space="preserve">Oh </v>
          </cell>
          <cell r="G3284">
            <v>0</v>
          </cell>
        </row>
        <row r="3285">
          <cell r="C3285" t="str">
            <v>Tukang Kayu</v>
          </cell>
          <cell r="D3285">
            <v>1</v>
          </cell>
          <cell r="E3285" t="str">
            <v xml:space="preserve"> Oh </v>
          </cell>
          <cell r="G3285">
            <v>0</v>
          </cell>
        </row>
        <row r="3286">
          <cell r="C3286" t="str">
            <v>Kep. Tukang Kayu</v>
          </cell>
          <cell r="E3286" t="str">
            <v xml:space="preserve"> Oh </v>
          </cell>
          <cell r="G3286">
            <v>0</v>
          </cell>
        </row>
        <row r="3287">
          <cell r="C3287" t="str">
            <v>Mandor</v>
          </cell>
          <cell r="E3287" t="str">
            <v xml:space="preserve"> Oh </v>
          </cell>
          <cell r="G3287">
            <v>0</v>
          </cell>
        </row>
        <row r="3288">
          <cell r="D3288">
            <v>0.4</v>
          </cell>
          <cell r="G3288">
            <v>0</v>
          </cell>
        </row>
        <row r="3289">
          <cell r="B3289" t="str">
            <v>1 M2 Pas. Nok genteng aspal</v>
          </cell>
          <cell r="D3289">
            <v>0.2</v>
          </cell>
          <cell r="G3289">
            <v>0</v>
          </cell>
        </row>
        <row r="3290">
          <cell r="B3290" t="str">
            <v xml:space="preserve">Bahan </v>
          </cell>
          <cell r="D3290">
            <v>0.02</v>
          </cell>
          <cell r="G3290">
            <v>0</v>
          </cell>
        </row>
        <row r="3291">
          <cell r="C3291" t="str">
            <v xml:space="preserve"> Genteng Aspal</v>
          </cell>
          <cell r="D3291">
            <v>0.02</v>
          </cell>
          <cell r="E3291" t="str">
            <v>bh</v>
          </cell>
          <cell r="G3291">
            <v>0</v>
          </cell>
        </row>
        <row r="3292">
          <cell r="C3292" t="str">
            <v>Paku biasa 1/2" - 1"</v>
          </cell>
          <cell r="E3292" t="str">
            <v>kg</v>
          </cell>
          <cell r="G3292">
            <v>0</v>
          </cell>
        </row>
        <row r="3293">
          <cell r="C3293" t="str">
            <v>Kayu borneo balok</v>
          </cell>
          <cell r="E3293" t="str">
            <v>m3</v>
          </cell>
          <cell r="G3293">
            <v>0</v>
          </cell>
        </row>
        <row r="3294">
          <cell r="G3294">
            <v>0</v>
          </cell>
        </row>
        <row r="3295">
          <cell r="B3295" t="str">
            <v xml:space="preserve">Tenaga </v>
          </cell>
          <cell r="D3295">
            <v>2</v>
          </cell>
          <cell r="G3295">
            <v>0</v>
          </cell>
        </row>
        <row r="3296">
          <cell r="C3296" t="str">
            <v>Pekerja</v>
          </cell>
          <cell r="D3296">
            <v>0.05</v>
          </cell>
          <cell r="E3296" t="str">
            <v xml:space="preserve">Oh </v>
          </cell>
          <cell r="G3296">
            <v>0</v>
          </cell>
        </row>
        <row r="3297">
          <cell r="C3297" t="str">
            <v>Tukang Kayu</v>
          </cell>
          <cell r="D3297">
            <v>3.5000000000000001E-3</v>
          </cell>
          <cell r="E3297" t="str">
            <v xml:space="preserve"> Oh </v>
          </cell>
          <cell r="G3297">
            <v>0</v>
          </cell>
        </row>
        <row r="3298">
          <cell r="C3298" t="str">
            <v>Kep. Tukang Kayu</v>
          </cell>
          <cell r="E3298" t="str">
            <v xml:space="preserve"> Oh </v>
          </cell>
          <cell r="G3298">
            <v>0</v>
          </cell>
        </row>
        <row r="3299">
          <cell r="C3299" t="str">
            <v>Mandor</v>
          </cell>
          <cell r="E3299" t="str">
            <v xml:space="preserve"> Oh </v>
          </cell>
          <cell r="G3299">
            <v>0</v>
          </cell>
        </row>
        <row r="3300">
          <cell r="D3300">
            <v>0.125</v>
          </cell>
          <cell r="G3300">
            <v>0</v>
          </cell>
        </row>
        <row r="3301">
          <cell r="B3301" t="str">
            <v xml:space="preserve">1 m' Pasang nok genteng metal </v>
          </cell>
          <cell r="D3301">
            <v>0.25</v>
          </cell>
          <cell r="G3301">
            <v>0</v>
          </cell>
        </row>
        <row r="3302">
          <cell r="B3302" t="str">
            <v xml:space="preserve">Bahan </v>
          </cell>
          <cell r="D3302">
            <v>2.5000000000000001E-2</v>
          </cell>
          <cell r="G3302">
            <v>0</v>
          </cell>
        </row>
        <row r="3303">
          <cell r="C3303" t="str">
            <v>Genteng decra bond</v>
          </cell>
          <cell r="D3303">
            <v>6.0000000000000001E-3</v>
          </cell>
          <cell r="E3303" t="str">
            <v>bh</v>
          </cell>
          <cell r="G3303">
            <v>0</v>
          </cell>
        </row>
        <row r="3304">
          <cell r="C3304" t="str">
            <v>Paku biasa 1/2" - 1"</v>
          </cell>
          <cell r="E3304" t="str">
            <v>kg</v>
          </cell>
          <cell r="G3304">
            <v>0</v>
          </cell>
        </row>
        <row r="3305">
          <cell r="B3305" t="str">
            <v xml:space="preserve">Tenaga </v>
          </cell>
          <cell r="G3305">
            <v>0</v>
          </cell>
        </row>
        <row r="3306">
          <cell r="C3306" t="str">
            <v xml:space="preserve">Pekerja </v>
          </cell>
          <cell r="E3306" t="str">
            <v xml:space="preserve">Oh </v>
          </cell>
          <cell r="G3306">
            <v>0</v>
          </cell>
        </row>
        <row r="3307">
          <cell r="C3307" t="str">
            <v xml:space="preserve">Tukang kayu </v>
          </cell>
          <cell r="D3307">
            <v>1.1000000000000001</v>
          </cell>
          <cell r="E3307" t="str">
            <v xml:space="preserve"> Oh </v>
          </cell>
          <cell r="G3307">
            <v>0</v>
          </cell>
        </row>
        <row r="3308">
          <cell r="C3308" t="str">
            <v xml:space="preserve">Kepala tukang </v>
          </cell>
          <cell r="D3308">
            <v>0.05</v>
          </cell>
          <cell r="E3308" t="str">
            <v xml:space="preserve"> Oh </v>
          </cell>
          <cell r="G3308">
            <v>0</v>
          </cell>
        </row>
        <row r="3309">
          <cell r="C3309" t="str">
            <v xml:space="preserve">Mandor </v>
          </cell>
          <cell r="E3309" t="str">
            <v xml:space="preserve"> Oh </v>
          </cell>
          <cell r="G3309">
            <v>0</v>
          </cell>
        </row>
        <row r="3310">
          <cell r="D3310">
            <v>0.25</v>
          </cell>
          <cell r="G3310">
            <v>0</v>
          </cell>
        </row>
        <row r="3311">
          <cell r="B3311" t="str">
            <v xml:space="preserve">1 m' Pasang nok sirap </v>
          </cell>
          <cell r="D3311">
            <v>0.15</v>
          </cell>
          <cell r="G3311">
            <v>0</v>
          </cell>
        </row>
        <row r="3312">
          <cell r="B3312" t="str">
            <v xml:space="preserve">Bahan </v>
          </cell>
          <cell r="D3312">
            <v>1.4999999999999999E-2</v>
          </cell>
          <cell r="G3312">
            <v>0</v>
          </cell>
        </row>
        <row r="3313">
          <cell r="C3313" t="str">
            <v>Seng plat 3" x 6" bjs 28</v>
          </cell>
          <cell r="D3313">
            <v>1.2999999999999999E-2</v>
          </cell>
          <cell r="E3313" t="str">
            <v>lbr</v>
          </cell>
          <cell r="G3313">
            <v>0</v>
          </cell>
        </row>
        <row r="3314">
          <cell r="C3314" t="str">
            <v>Paku biasa 1/2" - 1"</v>
          </cell>
          <cell r="E3314" t="str">
            <v>kg</v>
          </cell>
          <cell r="G3314">
            <v>0</v>
          </cell>
        </row>
        <row r="3315">
          <cell r="C3315" t="str">
            <v>Paku biasa 2" - 5"</v>
          </cell>
          <cell r="E3315" t="str">
            <v>kg</v>
          </cell>
          <cell r="G3315">
            <v>0</v>
          </cell>
        </row>
        <row r="3316">
          <cell r="C3316" t="str">
            <v>Kayu borneo papan tebal 3 cm</v>
          </cell>
          <cell r="E3316" t="str">
            <v>m3</v>
          </cell>
          <cell r="G3316">
            <v>0</v>
          </cell>
        </row>
        <row r="3317">
          <cell r="D3317">
            <v>0.4</v>
          </cell>
          <cell r="G3317">
            <v>0</v>
          </cell>
        </row>
        <row r="3318">
          <cell r="B3318" t="str">
            <v xml:space="preserve">Tenaga </v>
          </cell>
          <cell r="D3318">
            <v>0.06</v>
          </cell>
          <cell r="G3318">
            <v>0</v>
          </cell>
        </row>
        <row r="3319">
          <cell r="C3319" t="str">
            <v xml:space="preserve">Pekerja </v>
          </cell>
          <cell r="D3319">
            <v>0.05</v>
          </cell>
          <cell r="E3319" t="str">
            <v xml:space="preserve">Oh </v>
          </cell>
          <cell r="G3319">
            <v>0</v>
          </cell>
        </row>
        <row r="3320">
          <cell r="C3320" t="str">
            <v xml:space="preserve">Tukang kayu </v>
          </cell>
          <cell r="D3320">
            <v>4.0000000000000001E-3</v>
          </cell>
          <cell r="E3320" t="str">
            <v xml:space="preserve"> Oh </v>
          </cell>
          <cell r="G3320">
            <v>0</v>
          </cell>
        </row>
        <row r="3321">
          <cell r="C3321" t="str">
            <v xml:space="preserve">Kepala tukang </v>
          </cell>
          <cell r="E3321" t="str">
            <v xml:space="preserve"> Oh </v>
          </cell>
          <cell r="G3321">
            <v>0</v>
          </cell>
        </row>
        <row r="3322">
          <cell r="C3322" t="str">
            <v xml:space="preserve">Mandor </v>
          </cell>
          <cell r="E3322" t="str">
            <v xml:space="preserve"> Oh </v>
          </cell>
          <cell r="G3322">
            <v>0</v>
          </cell>
        </row>
        <row r="3323">
          <cell r="D3323">
            <v>0.125</v>
          </cell>
          <cell r="G3323">
            <v>0</v>
          </cell>
        </row>
        <row r="3324">
          <cell r="B3324" t="str">
            <v xml:space="preserve">1 m' Atap Seng Gelombang </v>
          </cell>
          <cell r="D3324">
            <v>0.25</v>
          </cell>
          <cell r="G3324">
            <v>0</v>
          </cell>
        </row>
        <row r="3325">
          <cell r="B3325" t="str">
            <v xml:space="preserve">Bahan </v>
          </cell>
          <cell r="D3325">
            <v>2.5000000000000001E-3</v>
          </cell>
          <cell r="G3325">
            <v>0</v>
          </cell>
        </row>
        <row r="3326">
          <cell r="C3326" t="str">
            <v>Seng Gelombang plat 3" x 6" bjs 28</v>
          </cell>
          <cell r="D3326">
            <v>6.0000000000000001E-3</v>
          </cell>
          <cell r="E3326" t="str">
            <v>lbr</v>
          </cell>
          <cell r="G3326">
            <v>0</v>
          </cell>
        </row>
        <row r="3327">
          <cell r="C3327" t="str">
            <v>Paku biasa 1/2" - 1"</v>
          </cell>
          <cell r="E3327" t="str">
            <v>kg</v>
          </cell>
          <cell r="G3327">
            <v>0</v>
          </cell>
        </row>
        <row r="3328">
          <cell r="G3328">
            <v>0</v>
          </cell>
        </row>
        <row r="3329">
          <cell r="B3329" t="str">
            <v xml:space="preserve">Tenaga </v>
          </cell>
          <cell r="G3329">
            <v>0</v>
          </cell>
        </row>
        <row r="3330">
          <cell r="C3330" t="str">
            <v xml:space="preserve">Pekerja </v>
          </cell>
          <cell r="D3330">
            <v>0.7</v>
          </cell>
          <cell r="E3330" t="str">
            <v xml:space="preserve">Oh </v>
          </cell>
          <cell r="G3330">
            <v>0</v>
          </cell>
        </row>
        <row r="3331">
          <cell r="C3331" t="str">
            <v xml:space="preserve">Tukang kayu </v>
          </cell>
          <cell r="D3331">
            <v>0.02</v>
          </cell>
          <cell r="E3331" t="str">
            <v xml:space="preserve"> Oh </v>
          </cell>
          <cell r="G3331">
            <v>0</v>
          </cell>
        </row>
        <row r="3332">
          <cell r="C3332" t="str">
            <v xml:space="preserve">Kepala tukang </v>
          </cell>
          <cell r="E3332" t="str">
            <v xml:space="preserve"> Oh </v>
          </cell>
          <cell r="G3332">
            <v>0</v>
          </cell>
        </row>
        <row r="3333">
          <cell r="C3333" t="str">
            <v xml:space="preserve">Mandor </v>
          </cell>
          <cell r="E3333" t="str">
            <v xml:space="preserve"> Oh </v>
          </cell>
          <cell r="G3333">
            <v>0</v>
          </cell>
        </row>
        <row r="3334">
          <cell r="D3334">
            <v>0.12</v>
          </cell>
          <cell r="G3334">
            <v>0</v>
          </cell>
        </row>
        <row r="3335">
          <cell r="B3335" t="str">
            <v xml:space="preserve">1 m' Pas. Atap Nok Seng  </v>
          </cell>
          <cell r="D3335">
            <v>0.06</v>
          </cell>
          <cell r="G3335">
            <v>0</v>
          </cell>
        </row>
        <row r="3336">
          <cell r="B3336" t="str">
            <v xml:space="preserve">Bahan </v>
          </cell>
          <cell r="D3336">
            <v>6.0000000000000001E-3</v>
          </cell>
          <cell r="G3336">
            <v>0</v>
          </cell>
        </row>
        <row r="3337">
          <cell r="C3337" t="str">
            <v>Seng  plat 3" x 6" bjls 28</v>
          </cell>
          <cell r="D3337">
            <v>6.0000000000000001E-3</v>
          </cell>
          <cell r="E3337" t="str">
            <v>lbr</v>
          </cell>
          <cell r="G3337">
            <v>0</v>
          </cell>
        </row>
        <row r="3338">
          <cell r="C3338" t="str">
            <v>Paku biasa 1/2" - 1"</v>
          </cell>
          <cell r="E3338" t="str">
            <v>kg</v>
          </cell>
          <cell r="G3338">
            <v>0</v>
          </cell>
        </row>
        <row r="3339">
          <cell r="G3339">
            <v>0</v>
          </cell>
        </row>
        <row r="3340">
          <cell r="B3340" t="str">
            <v xml:space="preserve">Tenaga </v>
          </cell>
          <cell r="G3340">
            <v>0</v>
          </cell>
        </row>
        <row r="3341">
          <cell r="C3341" t="str">
            <v xml:space="preserve">Pekerja </v>
          </cell>
          <cell r="D3341">
            <v>0.3</v>
          </cell>
          <cell r="E3341" t="str">
            <v xml:space="preserve">Oh </v>
          </cell>
          <cell r="G3341">
            <v>0</v>
          </cell>
        </row>
        <row r="3342">
          <cell r="C3342" t="str">
            <v xml:space="preserve">Tukang kayu </v>
          </cell>
          <cell r="D3342">
            <v>0.04</v>
          </cell>
          <cell r="E3342" t="str">
            <v xml:space="preserve"> Oh </v>
          </cell>
          <cell r="G3342">
            <v>0</v>
          </cell>
        </row>
        <row r="3343">
          <cell r="C3343" t="str">
            <v xml:space="preserve">Kepala tukang </v>
          </cell>
          <cell r="E3343" t="str">
            <v xml:space="preserve"> Oh </v>
          </cell>
          <cell r="G3343">
            <v>0</v>
          </cell>
        </row>
        <row r="3344">
          <cell r="C3344" t="str">
            <v xml:space="preserve">Mandor </v>
          </cell>
          <cell r="E3344" t="str">
            <v xml:space="preserve"> Oh </v>
          </cell>
          <cell r="G3344">
            <v>0</v>
          </cell>
        </row>
        <row r="3345">
          <cell r="D3345">
            <v>0.15</v>
          </cell>
          <cell r="G3345">
            <v>0</v>
          </cell>
        </row>
        <row r="3346">
          <cell r="B3346" t="str">
            <v xml:space="preserve">1 m' Pas. Atap Aluminium  </v>
          </cell>
          <cell r="D3346">
            <v>7.0000000000000007E-2</v>
          </cell>
          <cell r="G3346">
            <v>0</v>
          </cell>
        </row>
        <row r="3347">
          <cell r="B3347" t="str">
            <v xml:space="preserve">Bahan </v>
          </cell>
          <cell r="D3347">
            <v>8.0000000000000002E-3</v>
          </cell>
          <cell r="G3347">
            <v>0</v>
          </cell>
        </row>
        <row r="3348">
          <cell r="C3348" t="str">
            <v>Atap aluminium  Gelombang TB 0,55</v>
          </cell>
          <cell r="D3348">
            <v>6.0000000000000001E-3</v>
          </cell>
          <cell r="E3348" t="str">
            <v>lbr</v>
          </cell>
          <cell r="G3348">
            <v>0</v>
          </cell>
        </row>
        <row r="3349">
          <cell r="C3349" t="str">
            <v>Paku hak panjang 15 cm</v>
          </cell>
          <cell r="E3349" t="str">
            <v>kg</v>
          </cell>
          <cell r="G3349">
            <v>0</v>
          </cell>
        </row>
        <row r="3350">
          <cell r="G3350">
            <v>0</v>
          </cell>
        </row>
        <row r="3351">
          <cell r="B3351" t="str">
            <v xml:space="preserve">Tenaga </v>
          </cell>
          <cell r="G3351">
            <v>0</v>
          </cell>
        </row>
        <row r="3352">
          <cell r="C3352" t="str">
            <v xml:space="preserve">Pekerja </v>
          </cell>
          <cell r="D3352">
            <v>1.05</v>
          </cell>
          <cell r="E3352" t="str">
            <v xml:space="preserve">Oh </v>
          </cell>
          <cell r="G3352">
            <v>0</v>
          </cell>
        </row>
        <row r="3353">
          <cell r="C3353" t="str">
            <v xml:space="preserve">Tukang kayu </v>
          </cell>
          <cell r="D3353">
            <v>0.02</v>
          </cell>
          <cell r="E3353" t="str">
            <v xml:space="preserve"> Oh </v>
          </cell>
          <cell r="G3353">
            <v>0</v>
          </cell>
        </row>
        <row r="3354">
          <cell r="C3354" t="str">
            <v xml:space="preserve">Kepala tukang </v>
          </cell>
          <cell r="E3354" t="str">
            <v xml:space="preserve"> Oh </v>
          </cell>
          <cell r="G3354">
            <v>0</v>
          </cell>
        </row>
        <row r="3355">
          <cell r="C3355" t="str">
            <v xml:space="preserve">Mandor </v>
          </cell>
          <cell r="E3355" t="str">
            <v xml:space="preserve"> Oh </v>
          </cell>
          <cell r="G3355">
            <v>0</v>
          </cell>
        </row>
        <row r="3356">
          <cell r="D3356">
            <v>0.15</v>
          </cell>
          <cell r="G3356">
            <v>0</v>
          </cell>
        </row>
        <row r="3357">
          <cell r="B3357" t="str">
            <v xml:space="preserve">1 m' Pas.nok  Aluminium  </v>
          </cell>
          <cell r="D3357">
            <v>0.75</v>
          </cell>
          <cell r="G3357">
            <v>0</v>
          </cell>
        </row>
        <row r="3358">
          <cell r="B3358" t="str">
            <v xml:space="preserve">Bahan </v>
          </cell>
          <cell r="D3358">
            <v>8.0000000000000002E-3</v>
          </cell>
          <cell r="G3358">
            <v>0</v>
          </cell>
        </row>
        <row r="3359">
          <cell r="C3359" t="str">
            <v xml:space="preserve"> Nok Standrant 40 cm,18 SWG 22</v>
          </cell>
          <cell r="D3359">
            <v>6.0000000000000001E-3</v>
          </cell>
          <cell r="E3359" t="str">
            <v>lbr</v>
          </cell>
          <cell r="G3359">
            <v>0</v>
          </cell>
        </row>
        <row r="3360">
          <cell r="C3360" t="str">
            <v>Paku hak panjang 15 cm</v>
          </cell>
          <cell r="E3360" t="str">
            <v>kg</v>
          </cell>
          <cell r="G3360">
            <v>0</v>
          </cell>
        </row>
        <row r="3361">
          <cell r="G3361">
            <v>0</v>
          </cell>
        </row>
        <row r="3362">
          <cell r="B3362" t="str">
            <v xml:space="preserve">Tenaga </v>
          </cell>
          <cell r="G3362">
            <v>0</v>
          </cell>
        </row>
        <row r="3363">
          <cell r="C3363" t="str">
            <v xml:space="preserve">Pekerja </v>
          </cell>
          <cell r="D3363">
            <v>1.2</v>
          </cell>
          <cell r="E3363" t="str">
            <v xml:space="preserve">Oh </v>
          </cell>
          <cell r="G3363">
            <v>0</v>
          </cell>
        </row>
        <row r="3364">
          <cell r="C3364" t="str">
            <v xml:space="preserve">Tukang kayu </v>
          </cell>
          <cell r="D3364">
            <v>0.04</v>
          </cell>
          <cell r="E3364" t="str">
            <v xml:space="preserve"> Oh </v>
          </cell>
          <cell r="G3364">
            <v>0</v>
          </cell>
        </row>
        <row r="3365">
          <cell r="C3365" t="str">
            <v xml:space="preserve">Kepala tukang </v>
          </cell>
          <cell r="E3365" t="str">
            <v xml:space="preserve"> Oh </v>
          </cell>
          <cell r="G3365">
            <v>0</v>
          </cell>
        </row>
        <row r="3366">
          <cell r="C3366" t="str">
            <v xml:space="preserve">Mandor </v>
          </cell>
          <cell r="E3366" t="str">
            <v xml:space="preserve"> Oh </v>
          </cell>
          <cell r="G3366">
            <v>0</v>
          </cell>
        </row>
        <row r="3367">
          <cell r="D3367">
            <v>0.1</v>
          </cell>
          <cell r="G3367">
            <v>0</v>
          </cell>
        </row>
        <row r="3368">
          <cell r="B3368" t="str">
            <v xml:space="preserve">1 m' Pas.  Aluminium foil / sisalation </v>
          </cell>
          <cell r="D3368">
            <v>1</v>
          </cell>
          <cell r="G3368">
            <v>0</v>
          </cell>
        </row>
        <row r="3369">
          <cell r="B3369" t="str">
            <v xml:space="preserve">Bahan </v>
          </cell>
          <cell r="D3369">
            <v>0.01</v>
          </cell>
          <cell r="G3369">
            <v>0</v>
          </cell>
        </row>
        <row r="3370">
          <cell r="C3370" t="str">
            <v xml:space="preserve"> sisalation / aluminium foil</v>
          </cell>
          <cell r="D3370">
            <v>0.01</v>
          </cell>
          <cell r="E3370" t="str">
            <v>m2</v>
          </cell>
          <cell r="G3370">
            <v>0</v>
          </cell>
        </row>
        <row r="3371">
          <cell r="G3371">
            <v>0</v>
          </cell>
        </row>
        <row r="3372">
          <cell r="B3372" t="str">
            <v xml:space="preserve">Tenaga </v>
          </cell>
          <cell r="G3372">
            <v>0</v>
          </cell>
        </row>
        <row r="3373">
          <cell r="C3373" t="str">
            <v xml:space="preserve">Pekerja </v>
          </cell>
          <cell r="E3373" t="str">
            <v xml:space="preserve">Oh </v>
          </cell>
          <cell r="G3373">
            <v>0</v>
          </cell>
        </row>
        <row r="3374">
          <cell r="C3374" t="str">
            <v xml:space="preserve">Tukang kayu </v>
          </cell>
          <cell r="D3374">
            <v>1.05</v>
          </cell>
          <cell r="E3374" t="str">
            <v xml:space="preserve"> Oh </v>
          </cell>
          <cell r="G3374">
            <v>0</v>
          </cell>
        </row>
        <row r="3375">
          <cell r="C3375" t="str">
            <v xml:space="preserve">Kepala tukang </v>
          </cell>
          <cell r="E3375" t="str">
            <v xml:space="preserve"> Oh </v>
          </cell>
          <cell r="G3375">
            <v>0</v>
          </cell>
        </row>
        <row r="3376">
          <cell r="C3376" t="str">
            <v xml:space="preserve">Mandor </v>
          </cell>
          <cell r="E3376" t="str">
            <v xml:space="preserve"> Oh </v>
          </cell>
          <cell r="G3376">
            <v>0</v>
          </cell>
        </row>
        <row r="3377">
          <cell r="D3377">
            <v>0.15</v>
          </cell>
          <cell r="G3377">
            <v>0</v>
          </cell>
        </row>
        <row r="3378">
          <cell r="B3378" t="str">
            <v xml:space="preserve">Analisa Biaya Kontruksi Pekerjaan </v>
          </cell>
          <cell r="D3378">
            <v>0.05</v>
          </cell>
          <cell r="G3378">
            <v>0</v>
          </cell>
        </row>
        <row r="3379">
          <cell r="B3379" t="str">
            <v>Langit- langit</v>
          </cell>
          <cell r="D3379">
            <v>5.0000000000000001E-3</v>
          </cell>
          <cell r="G3379">
            <v>0</v>
          </cell>
        </row>
        <row r="3380">
          <cell r="B3380" t="str">
            <v xml:space="preserve">1 m2 langit langit asbes (1,00 X 1,00)M, </v>
          </cell>
          <cell r="D3380">
            <v>8.0000000000000002E-3</v>
          </cell>
          <cell r="G3380">
            <v>0</v>
          </cell>
        </row>
        <row r="3381">
          <cell r="B3381" t="str">
            <v>Tebal 6 mm</v>
          </cell>
          <cell r="G3381">
            <v>0</v>
          </cell>
        </row>
        <row r="3382">
          <cell r="B3382" t="str">
            <v xml:space="preserve">Bahan </v>
          </cell>
          <cell r="G3382">
            <v>0</v>
          </cell>
        </row>
        <row r="3383">
          <cell r="C3383" t="str">
            <v>Plat Asbes tebal 6 mm</v>
          </cell>
          <cell r="E3383" t="str">
            <v>lbr</v>
          </cell>
          <cell r="G3383">
            <v>0</v>
          </cell>
        </row>
        <row r="3384">
          <cell r="C3384" t="str">
            <v xml:space="preserve">Paku </v>
          </cell>
          <cell r="E3384" t="str">
            <v>kg</v>
          </cell>
          <cell r="G3384">
            <v>0</v>
          </cell>
        </row>
        <row r="3385">
          <cell r="G3385">
            <v>0</v>
          </cell>
        </row>
        <row r="3386">
          <cell r="B3386" t="str">
            <v xml:space="preserve">Tenaga </v>
          </cell>
          <cell r="G3386">
            <v>0</v>
          </cell>
        </row>
        <row r="3387">
          <cell r="C3387" t="str">
            <v xml:space="preserve">Pekerja </v>
          </cell>
          <cell r="D3387">
            <v>1.1000000000000001</v>
          </cell>
          <cell r="E3387" t="str">
            <v xml:space="preserve">Oh </v>
          </cell>
          <cell r="G3387">
            <v>0</v>
          </cell>
        </row>
        <row r="3388">
          <cell r="C3388" t="str">
            <v xml:space="preserve">Tukang kayu </v>
          </cell>
          <cell r="D3388">
            <v>0.01</v>
          </cell>
          <cell r="E3388" t="str">
            <v xml:space="preserve"> Oh </v>
          </cell>
          <cell r="G3388">
            <v>0</v>
          </cell>
        </row>
        <row r="3389">
          <cell r="C3389" t="str">
            <v xml:space="preserve">Kepala tukang </v>
          </cell>
          <cell r="E3389" t="str">
            <v xml:space="preserve"> Oh </v>
          </cell>
          <cell r="G3389">
            <v>0</v>
          </cell>
        </row>
        <row r="3390">
          <cell r="C3390" t="str">
            <v xml:space="preserve">Mandor </v>
          </cell>
          <cell r="E3390" t="str">
            <v xml:space="preserve"> Oh </v>
          </cell>
          <cell r="G3390">
            <v>0</v>
          </cell>
        </row>
        <row r="3391">
          <cell r="D3391">
            <v>0.03</v>
          </cell>
          <cell r="G3391">
            <v>0</v>
          </cell>
        </row>
        <row r="3392">
          <cell r="B3392" t="str">
            <v xml:space="preserve">1 m2 langit langit asbes (1,00 X 1,00)M, </v>
          </cell>
          <cell r="D3392">
            <v>7.0000000000000007E-2</v>
          </cell>
          <cell r="G3392">
            <v>0</v>
          </cell>
        </row>
        <row r="3393">
          <cell r="B3393" t="str">
            <v>Tebal 5 mm</v>
          </cell>
          <cell r="D3393">
            <v>7.0000000000000001E-3</v>
          </cell>
          <cell r="G3393">
            <v>0</v>
          </cell>
        </row>
        <row r="3394">
          <cell r="B3394" t="str">
            <v xml:space="preserve">Bahan </v>
          </cell>
          <cell r="D3394">
            <v>1.5E-3</v>
          </cell>
          <cell r="G3394">
            <v>0</v>
          </cell>
        </row>
        <row r="3395">
          <cell r="C3395" t="str">
            <v>Plat Asbes tebal 5 mm</v>
          </cell>
          <cell r="E3395" t="str">
            <v>lbr</v>
          </cell>
          <cell r="G3395">
            <v>0</v>
          </cell>
        </row>
        <row r="3396">
          <cell r="C3396" t="str">
            <v xml:space="preserve">Paku </v>
          </cell>
          <cell r="E3396" t="str">
            <v>kg</v>
          </cell>
          <cell r="G3396">
            <v>0</v>
          </cell>
        </row>
        <row r="3397">
          <cell r="G3397">
            <v>0</v>
          </cell>
        </row>
        <row r="3398">
          <cell r="B3398" t="str">
            <v xml:space="preserve">Tenaga </v>
          </cell>
          <cell r="G3398">
            <v>0</v>
          </cell>
        </row>
        <row r="3399">
          <cell r="C3399" t="str">
            <v xml:space="preserve">Pekerja </v>
          </cell>
          <cell r="D3399">
            <v>1.1000000000000001</v>
          </cell>
          <cell r="E3399" t="str">
            <v xml:space="preserve">Oh </v>
          </cell>
          <cell r="G3399">
            <v>0</v>
          </cell>
        </row>
        <row r="3400">
          <cell r="C3400" t="str">
            <v xml:space="preserve">Tukang kayu </v>
          </cell>
          <cell r="D3400">
            <v>0.01</v>
          </cell>
          <cell r="E3400" t="str">
            <v xml:space="preserve"> Oh </v>
          </cell>
          <cell r="G3400">
            <v>0</v>
          </cell>
        </row>
        <row r="3401">
          <cell r="C3401" t="str">
            <v xml:space="preserve">Kepala tukang </v>
          </cell>
          <cell r="E3401" t="str">
            <v xml:space="preserve"> Oh </v>
          </cell>
          <cell r="G3401">
            <v>0</v>
          </cell>
        </row>
        <row r="3402">
          <cell r="C3402" t="str">
            <v xml:space="preserve">Mandor </v>
          </cell>
          <cell r="E3402" t="str">
            <v xml:space="preserve"> Oh </v>
          </cell>
          <cell r="G3402">
            <v>0</v>
          </cell>
        </row>
        <row r="3403">
          <cell r="D3403">
            <v>0.03</v>
          </cell>
          <cell r="G3403">
            <v>0</v>
          </cell>
        </row>
        <row r="3404">
          <cell r="B3404" t="str">
            <v xml:space="preserve">1 m2 langit langit asbes (1,00 X 1,00)M, </v>
          </cell>
          <cell r="D3404">
            <v>7.0000000000000007E-2</v>
          </cell>
          <cell r="G3404">
            <v>0</v>
          </cell>
        </row>
        <row r="3405">
          <cell r="B3405" t="str">
            <v>Tebal 4 mm</v>
          </cell>
          <cell r="D3405">
            <v>7.0000000000000001E-3</v>
          </cell>
          <cell r="G3405">
            <v>0</v>
          </cell>
        </row>
        <row r="3406">
          <cell r="B3406" t="str">
            <v xml:space="preserve">Bahan </v>
          </cell>
          <cell r="D3406">
            <v>1.5E-3</v>
          </cell>
          <cell r="G3406">
            <v>0</v>
          </cell>
        </row>
        <row r="3407">
          <cell r="C3407" t="str">
            <v>Plat Asbes tebal 4 mm</v>
          </cell>
          <cell r="E3407" t="str">
            <v>lbr</v>
          </cell>
          <cell r="G3407">
            <v>0</v>
          </cell>
        </row>
        <row r="3408">
          <cell r="C3408" t="str">
            <v xml:space="preserve">Paku </v>
          </cell>
          <cell r="E3408" t="str">
            <v>kg</v>
          </cell>
          <cell r="G3408">
            <v>0</v>
          </cell>
        </row>
        <row r="3409">
          <cell r="G3409">
            <v>0</v>
          </cell>
        </row>
        <row r="3410">
          <cell r="B3410" t="str">
            <v xml:space="preserve">Tenaga </v>
          </cell>
          <cell r="G3410">
            <v>0</v>
          </cell>
        </row>
        <row r="3411">
          <cell r="C3411" t="str">
            <v xml:space="preserve">Pekerja </v>
          </cell>
          <cell r="D3411">
            <v>1.1000000000000001</v>
          </cell>
          <cell r="E3411" t="str">
            <v xml:space="preserve">Oh </v>
          </cell>
          <cell r="G3411">
            <v>0</v>
          </cell>
        </row>
        <row r="3412">
          <cell r="C3412" t="str">
            <v xml:space="preserve">Tukang kayu </v>
          </cell>
          <cell r="D3412">
            <v>0.01</v>
          </cell>
          <cell r="E3412" t="str">
            <v xml:space="preserve"> Oh </v>
          </cell>
          <cell r="G3412">
            <v>0</v>
          </cell>
        </row>
        <row r="3413">
          <cell r="C3413" t="str">
            <v xml:space="preserve">Kepala tukang </v>
          </cell>
          <cell r="E3413" t="str">
            <v xml:space="preserve"> Oh </v>
          </cell>
          <cell r="G3413">
            <v>0</v>
          </cell>
        </row>
        <row r="3414">
          <cell r="C3414" t="str">
            <v xml:space="preserve">Mandor </v>
          </cell>
          <cell r="E3414" t="str">
            <v xml:space="preserve"> Oh </v>
          </cell>
          <cell r="G3414">
            <v>0</v>
          </cell>
        </row>
        <row r="3415">
          <cell r="D3415">
            <v>0.03</v>
          </cell>
          <cell r="G3415">
            <v>0</v>
          </cell>
        </row>
        <row r="3416">
          <cell r="B3416" t="str">
            <v xml:space="preserve">1 m2 langit langit asbes (1,00 X 1,00)M, </v>
          </cell>
          <cell r="D3416">
            <v>7.0000000000000007E-2</v>
          </cell>
          <cell r="G3416">
            <v>0</v>
          </cell>
        </row>
        <row r="3417">
          <cell r="B3417" t="str">
            <v>Tebal 3.5 mm</v>
          </cell>
          <cell r="D3417">
            <v>7.0000000000000001E-3</v>
          </cell>
          <cell r="G3417">
            <v>0</v>
          </cell>
        </row>
        <row r="3418">
          <cell r="B3418" t="str">
            <v xml:space="preserve">Bahan </v>
          </cell>
          <cell r="D3418">
            <v>1.5E-3</v>
          </cell>
          <cell r="G3418">
            <v>0</v>
          </cell>
        </row>
        <row r="3419">
          <cell r="C3419" t="str">
            <v>Plat Asbes tebal 3.5 mm</v>
          </cell>
          <cell r="E3419" t="str">
            <v>lbr</v>
          </cell>
          <cell r="G3419">
            <v>0</v>
          </cell>
        </row>
        <row r="3420">
          <cell r="C3420" t="str">
            <v xml:space="preserve">Paku </v>
          </cell>
          <cell r="E3420" t="str">
            <v>kg</v>
          </cell>
          <cell r="G3420">
            <v>0</v>
          </cell>
        </row>
        <row r="3421">
          <cell r="G3421">
            <v>0</v>
          </cell>
        </row>
        <row r="3422">
          <cell r="B3422" t="str">
            <v xml:space="preserve">Tenaga </v>
          </cell>
          <cell r="G3422">
            <v>0</v>
          </cell>
        </row>
        <row r="3423">
          <cell r="C3423" t="str">
            <v xml:space="preserve">Pekerja </v>
          </cell>
          <cell r="D3423">
            <v>1.1000000000000001</v>
          </cell>
          <cell r="E3423" t="str">
            <v xml:space="preserve">Oh </v>
          </cell>
          <cell r="G3423">
            <v>0</v>
          </cell>
        </row>
        <row r="3424">
          <cell r="C3424" t="str">
            <v xml:space="preserve">Tukang kayu </v>
          </cell>
          <cell r="D3424">
            <v>0.01</v>
          </cell>
          <cell r="E3424" t="str">
            <v xml:space="preserve"> Oh </v>
          </cell>
          <cell r="G3424">
            <v>0</v>
          </cell>
        </row>
        <row r="3425">
          <cell r="C3425" t="str">
            <v xml:space="preserve">Kepala tukang </v>
          </cell>
          <cell r="E3425" t="str">
            <v xml:space="preserve"> Oh </v>
          </cell>
          <cell r="G3425">
            <v>0</v>
          </cell>
        </row>
        <row r="3426">
          <cell r="C3426" t="str">
            <v xml:space="preserve">Mandor </v>
          </cell>
          <cell r="E3426" t="str">
            <v xml:space="preserve"> Oh </v>
          </cell>
          <cell r="G3426">
            <v>0</v>
          </cell>
        </row>
        <row r="3427">
          <cell r="D3427">
            <v>0.03</v>
          </cell>
          <cell r="G3427">
            <v>0</v>
          </cell>
        </row>
        <row r="3428">
          <cell r="B3428" t="str">
            <v xml:space="preserve">1 m2 langit langit akustik (30 X 30)CM, </v>
          </cell>
          <cell r="D3428">
            <v>7.0000000000000007E-2</v>
          </cell>
          <cell r="G3428">
            <v>0</v>
          </cell>
        </row>
        <row r="3429">
          <cell r="B3429" t="str">
            <v xml:space="preserve">Bahan </v>
          </cell>
          <cell r="D3429">
            <v>7.0000000000000001E-3</v>
          </cell>
          <cell r="G3429">
            <v>0</v>
          </cell>
        </row>
        <row r="3430">
          <cell r="C3430" t="str">
            <v>Akustik ukuran 30 x 30 cm</v>
          </cell>
          <cell r="D3430">
            <v>1.5E-3</v>
          </cell>
          <cell r="E3430" t="str">
            <v>lbr</v>
          </cell>
          <cell r="G3430">
            <v>0</v>
          </cell>
        </row>
        <row r="3431">
          <cell r="C3431" t="str">
            <v xml:space="preserve">Paku </v>
          </cell>
          <cell r="E3431" t="str">
            <v>kg</v>
          </cell>
          <cell r="G343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</sheetNames>
    <sheetDataSet>
      <sheetData sheetId="0" refreshError="1"/>
      <sheetData sheetId="1" refreshError="1">
        <row r="13">
          <cell r="F13">
            <v>14775</v>
          </cell>
        </row>
        <row r="23">
          <cell r="F23">
            <v>95000</v>
          </cell>
        </row>
        <row r="33">
          <cell r="F33">
            <v>3000000</v>
          </cell>
        </row>
        <row r="37">
          <cell r="F37">
            <v>1200000</v>
          </cell>
        </row>
        <row r="45">
          <cell r="F45">
            <v>135000</v>
          </cell>
        </row>
        <row r="48">
          <cell r="F48">
            <v>45000</v>
          </cell>
        </row>
        <row r="49">
          <cell r="F49">
            <v>55000</v>
          </cell>
        </row>
        <row r="50">
          <cell r="F50">
            <v>45000</v>
          </cell>
        </row>
        <row r="54">
          <cell r="F54">
            <v>2750</v>
          </cell>
        </row>
        <row r="55">
          <cell r="F55">
            <v>340000</v>
          </cell>
        </row>
        <row r="56">
          <cell r="F56">
            <v>17500</v>
          </cell>
        </row>
        <row r="65">
          <cell r="F65">
            <v>6500</v>
          </cell>
        </row>
        <row r="68">
          <cell r="F68">
            <v>600000</v>
          </cell>
        </row>
        <row r="69">
          <cell r="F69">
            <v>5500</v>
          </cell>
        </row>
        <row r="101">
          <cell r="F101">
            <v>25000</v>
          </cell>
        </row>
        <row r="104">
          <cell r="F104">
            <v>2500</v>
          </cell>
        </row>
        <row r="148">
          <cell r="F148">
            <v>8400</v>
          </cell>
        </row>
        <row r="150">
          <cell r="F150">
            <v>200</v>
          </cell>
        </row>
        <row r="155">
          <cell r="F155">
            <v>174000</v>
          </cell>
        </row>
        <row r="156">
          <cell r="F156">
            <v>85000</v>
          </cell>
        </row>
        <row r="157">
          <cell r="F157">
            <v>17500</v>
          </cell>
        </row>
        <row r="159">
          <cell r="F159">
            <v>8400</v>
          </cell>
        </row>
        <row r="161">
          <cell r="F161">
            <v>54000</v>
          </cell>
        </row>
        <row r="162">
          <cell r="F162">
            <v>960</v>
          </cell>
        </row>
        <row r="163">
          <cell r="F163">
            <v>20000</v>
          </cell>
        </row>
        <row r="165">
          <cell r="F165">
            <v>40000</v>
          </cell>
        </row>
        <row r="166">
          <cell r="F166">
            <v>47000</v>
          </cell>
        </row>
        <row r="177">
          <cell r="F177">
            <v>45000</v>
          </cell>
        </row>
        <row r="178">
          <cell r="F178">
            <v>1500</v>
          </cell>
        </row>
        <row r="182">
          <cell r="F182">
            <v>7000</v>
          </cell>
        </row>
        <row r="183">
          <cell r="F183">
            <v>125000</v>
          </cell>
        </row>
        <row r="185">
          <cell r="F185">
            <v>200000</v>
          </cell>
        </row>
        <row r="186">
          <cell r="F186">
            <v>235000</v>
          </cell>
        </row>
        <row r="187">
          <cell r="F187">
            <v>775</v>
          </cell>
        </row>
        <row r="197">
          <cell r="F197">
            <v>30000</v>
          </cell>
        </row>
        <row r="198">
          <cell r="F198">
            <v>27500</v>
          </cell>
        </row>
        <row r="201">
          <cell r="F201">
            <v>25000</v>
          </cell>
        </row>
        <row r="202">
          <cell r="F202">
            <v>27500</v>
          </cell>
        </row>
        <row r="203">
          <cell r="F203">
            <v>25000</v>
          </cell>
        </row>
        <row r="204">
          <cell r="F204">
            <v>25000</v>
          </cell>
        </row>
        <row r="205">
          <cell r="F205">
            <v>25000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C-FIN"/>
      <sheetName val="Spek Kusen"/>
      <sheetName val="Sheet1"/>
      <sheetName val="Kusen"/>
      <sheetName val="AN-Prelim"/>
      <sheetName val="AN-M&amp;E"/>
      <sheetName val="Analisa"/>
      <sheetName val="BD"/>
      <sheetName val="Gross Area"/>
      <sheetName val="Vol-M&amp;E"/>
      <sheetName val="T-Sch"/>
      <sheetName val="Remark"/>
      <sheetName val="TOTAL"/>
      <sheetName val="PRELIM"/>
      <sheetName val="RUK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Harsat1- STR"/>
      <sheetName val="site M"/>
      <sheetName val="Harsat3-San"/>
      <sheetName val="Harsat2-ARS"/>
      <sheetName val="Harsat Pintu"/>
      <sheetName val="Rekap"/>
      <sheetName val="BQ"/>
      <sheetName val="BQ-MEP"/>
      <sheetName val="Harga Satuan"/>
      <sheetName val="Form Work"/>
      <sheetName val="Harga Material"/>
      <sheetName val="Hi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>
        <row r="14">
          <cell r="G14">
            <v>1100</v>
          </cell>
        </row>
        <row r="115">
          <cell r="G115">
            <v>125000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</sheetNames>
    <sheetDataSet>
      <sheetData sheetId="0" refreshError="1"/>
      <sheetData sheetId="1" refreshError="1">
        <row r="9">
          <cell r="F9">
            <v>27500</v>
          </cell>
        </row>
        <row r="10">
          <cell r="F10">
            <v>30000</v>
          </cell>
        </row>
        <row r="29">
          <cell r="F29">
            <v>5250000</v>
          </cell>
        </row>
        <row r="52">
          <cell r="F52">
            <v>45000</v>
          </cell>
        </row>
        <row r="119">
          <cell r="F119">
            <v>20000</v>
          </cell>
        </row>
        <row r="160">
          <cell r="F160">
            <v>300000</v>
          </cell>
        </row>
        <row r="172">
          <cell r="F172">
            <v>9600</v>
          </cell>
        </row>
        <row r="175">
          <cell r="F175">
            <v>8000</v>
          </cell>
        </row>
        <row r="176">
          <cell r="F176">
            <v>3250</v>
          </cell>
        </row>
        <row r="184">
          <cell r="F184">
            <v>100000</v>
          </cell>
        </row>
        <row r="199">
          <cell r="F199">
            <v>27500</v>
          </cell>
        </row>
        <row r="200">
          <cell r="F200">
            <v>27500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KP 2.5 M"/>
      <sheetName val="SUBRKP ARS"/>
      <sheetName val="rab ARS"/>
      <sheetName val="SUB REKAP ME"/>
      <sheetName val="rab ME"/>
      <sheetName val="analisa"/>
      <sheetName val="bahan "/>
      <sheetName val="Sheet1"/>
      <sheetName val="LENTUR"/>
      <sheetName val="GESER+TORSI"/>
      <sheetName val="BEGISTING"/>
      <sheetName val="VOL"/>
      <sheetName val="rab STR"/>
      <sheetName val="Harga P"/>
      <sheetName val="Analisa P"/>
      <sheetName val="RAB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57">
          <cell r="B157" t="str">
            <v>Kepala tukang</v>
          </cell>
        </row>
        <row r="158">
          <cell r="B158" t="str">
            <v>Kepala tukang</v>
          </cell>
        </row>
        <row r="160">
          <cell r="B160" t="str">
            <v>Tukang kayu</v>
          </cell>
        </row>
        <row r="162">
          <cell r="B162" t="str">
            <v>Tukang cat</v>
          </cell>
        </row>
        <row r="167">
          <cell r="B167" t="str">
            <v>Pekerja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5"/>
  <sheetViews>
    <sheetView showGridLines="0" tabSelected="1" view="pageBreakPreview" zoomScale="75" zoomScaleNormal="70" zoomScaleSheetLayoutView="75" workbookViewId="0">
      <selection activeCell="D3" sqref="D3"/>
    </sheetView>
  </sheetViews>
  <sheetFormatPr defaultRowHeight="15.75"/>
  <cols>
    <col min="1" max="1" width="6.140625" style="68" customWidth="1"/>
    <col min="2" max="2" width="11.5703125" style="68" customWidth="1"/>
    <col min="3" max="3" width="2.140625" style="68" customWidth="1"/>
    <col min="4" max="4" width="75.42578125" style="97" customWidth="1"/>
    <col min="5" max="5" width="11" style="98" customWidth="1"/>
    <col min="6" max="6" width="6.7109375" style="68" customWidth="1"/>
    <col min="7" max="7" width="22.5703125" style="99" customWidth="1"/>
    <col min="8" max="8" width="18.7109375" style="99" customWidth="1"/>
    <col min="9" max="9" width="19.85546875" style="99" customWidth="1"/>
    <col min="10" max="10" width="22.85546875" style="99" customWidth="1"/>
    <col min="11" max="11" width="22.5703125" style="99" customWidth="1"/>
    <col min="12" max="12" width="25.85546875" style="99" customWidth="1"/>
    <col min="13" max="14" width="9.140625" style="66"/>
    <col min="15" max="15" width="9.140625" style="66" customWidth="1"/>
    <col min="16" max="190" width="9.140625" style="66"/>
    <col min="191" max="191" width="7.5703125" style="66" customWidth="1"/>
    <col min="192" max="192" width="59.5703125" style="66" customWidth="1"/>
    <col min="193" max="193" width="11.42578125" style="66" customWidth="1"/>
    <col min="194" max="194" width="7.140625" style="66" bestFit="1" customWidth="1"/>
    <col min="195" max="196" width="19.28515625" style="66" customWidth="1"/>
    <col min="197" max="197" width="17.28515625" style="66" customWidth="1"/>
    <col min="198" max="198" width="22.42578125" style="66" bestFit="1" customWidth="1"/>
    <col min="199" max="199" width="20.28515625" style="66" customWidth="1"/>
    <col min="200" max="200" width="21" style="66" customWidth="1"/>
    <col min="201" max="446" width="9.140625" style="66"/>
    <col min="447" max="447" width="7.5703125" style="66" customWidth="1"/>
    <col min="448" max="448" width="59.5703125" style="66" customWidth="1"/>
    <col min="449" max="449" width="11.42578125" style="66" customWidth="1"/>
    <col min="450" max="450" width="7.140625" style="66" bestFit="1" customWidth="1"/>
    <col min="451" max="452" width="19.28515625" style="66" customWidth="1"/>
    <col min="453" max="453" width="17.28515625" style="66" customWidth="1"/>
    <col min="454" max="454" width="22.42578125" style="66" bestFit="1" customWidth="1"/>
    <col min="455" max="455" width="20.28515625" style="66" customWidth="1"/>
    <col min="456" max="456" width="21" style="66" customWidth="1"/>
    <col min="457" max="702" width="9.140625" style="66"/>
    <col min="703" max="703" width="7.5703125" style="66" customWidth="1"/>
    <col min="704" max="704" width="59.5703125" style="66" customWidth="1"/>
    <col min="705" max="705" width="11.42578125" style="66" customWidth="1"/>
    <col min="706" max="706" width="7.140625" style="66" bestFit="1" customWidth="1"/>
    <col min="707" max="708" width="19.28515625" style="66" customWidth="1"/>
    <col min="709" max="709" width="17.28515625" style="66" customWidth="1"/>
    <col min="710" max="710" width="22.42578125" style="66" bestFit="1" customWidth="1"/>
    <col min="711" max="711" width="20.28515625" style="66" customWidth="1"/>
    <col min="712" max="712" width="21" style="66" customWidth="1"/>
    <col min="713" max="958" width="9.140625" style="66"/>
    <col min="959" max="959" width="7.5703125" style="66" customWidth="1"/>
    <col min="960" max="960" width="59.5703125" style="66" customWidth="1"/>
    <col min="961" max="961" width="11.42578125" style="66" customWidth="1"/>
    <col min="962" max="962" width="7.140625" style="66" bestFit="1" customWidth="1"/>
    <col min="963" max="964" width="19.28515625" style="66" customWidth="1"/>
    <col min="965" max="965" width="17.28515625" style="66" customWidth="1"/>
    <col min="966" max="966" width="22.42578125" style="66" bestFit="1" customWidth="1"/>
    <col min="967" max="967" width="20.28515625" style="66" customWidth="1"/>
    <col min="968" max="968" width="21" style="66" customWidth="1"/>
    <col min="969" max="1214" width="9.140625" style="66"/>
    <col min="1215" max="1215" width="7.5703125" style="66" customWidth="1"/>
    <col min="1216" max="1216" width="59.5703125" style="66" customWidth="1"/>
    <col min="1217" max="1217" width="11.42578125" style="66" customWidth="1"/>
    <col min="1218" max="1218" width="7.140625" style="66" bestFit="1" customWidth="1"/>
    <col min="1219" max="1220" width="19.28515625" style="66" customWidth="1"/>
    <col min="1221" max="1221" width="17.28515625" style="66" customWidth="1"/>
    <col min="1222" max="1222" width="22.42578125" style="66" bestFit="1" customWidth="1"/>
    <col min="1223" max="1223" width="20.28515625" style="66" customWidth="1"/>
    <col min="1224" max="1224" width="21" style="66" customWidth="1"/>
    <col min="1225" max="1470" width="9.140625" style="66"/>
    <col min="1471" max="1471" width="7.5703125" style="66" customWidth="1"/>
    <col min="1472" max="1472" width="59.5703125" style="66" customWidth="1"/>
    <col min="1473" max="1473" width="11.42578125" style="66" customWidth="1"/>
    <col min="1474" max="1474" width="7.140625" style="66" bestFit="1" customWidth="1"/>
    <col min="1475" max="1476" width="19.28515625" style="66" customWidth="1"/>
    <col min="1477" max="1477" width="17.28515625" style="66" customWidth="1"/>
    <col min="1478" max="1478" width="22.42578125" style="66" bestFit="1" customWidth="1"/>
    <col min="1479" max="1479" width="20.28515625" style="66" customWidth="1"/>
    <col min="1480" max="1480" width="21" style="66" customWidth="1"/>
    <col min="1481" max="1726" width="9.140625" style="66"/>
    <col min="1727" max="1727" width="7.5703125" style="66" customWidth="1"/>
    <col min="1728" max="1728" width="59.5703125" style="66" customWidth="1"/>
    <col min="1729" max="1729" width="11.42578125" style="66" customWidth="1"/>
    <col min="1730" max="1730" width="7.140625" style="66" bestFit="1" customWidth="1"/>
    <col min="1731" max="1732" width="19.28515625" style="66" customWidth="1"/>
    <col min="1733" max="1733" width="17.28515625" style="66" customWidth="1"/>
    <col min="1734" max="1734" width="22.42578125" style="66" bestFit="1" customWidth="1"/>
    <col min="1735" max="1735" width="20.28515625" style="66" customWidth="1"/>
    <col min="1736" max="1736" width="21" style="66" customWidth="1"/>
    <col min="1737" max="1982" width="9.140625" style="66"/>
    <col min="1983" max="1983" width="7.5703125" style="66" customWidth="1"/>
    <col min="1984" max="1984" width="59.5703125" style="66" customWidth="1"/>
    <col min="1985" max="1985" width="11.42578125" style="66" customWidth="1"/>
    <col min="1986" max="1986" width="7.140625" style="66" bestFit="1" customWidth="1"/>
    <col min="1987" max="1988" width="19.28515625" style="66" customWidth="1"/>
    <col min="1989" max="1989" width="17.28515625" style="66" customWidth="1"/>
    <col min="1990" max="1990" width="22.42578125" style="66" bestFit="1" customWidth="1"/>
    <col min="1991" max="1991" width="20.28515625" style="66" customWidth="1"/>
    <col min="1992" max="1992" width="21" style="66" customWidth="1"/>
    <col min="1993" max="2238" width="9.140625" style="66"/>
    <col min="2239" max="2239" width="7.5703125" style="66" customWidth="1"/>
    <col min="2240" max="2240" width="59.5703125" style="66" customWidth="1"/>
    <col min="2241" max="2241" width="11.42578125" style="66" customWidth="1"/>
    <col min="2242" max="2242" width="7.140625" style="66" bestFit="1" customWidth="1"/>
    <col min="2243" max="2244" width="19.28515625" style="66" customWidth="1"/>
    <col min="2245" max="2245" width="17.28515625" style="66" customWidth="1"/>
    <col min="2246" max="2246" width="22.42578125" style="66" bestFit="1" customWidth="1"/>
    <col min="2247" max="2247" width="20.28515625" style="66" customWidth="1"/>
    <col min="2248" max="2248" width="21" style="66" customWidth="1"/>
    <col min="2249" max="2494" width="9.140625" style="66"/>
    <col min="2495" max="2495" width="7.5703125" style="66" customWidth="1"/>
    <col min="2496" max="2496" width="59.5703125" style="66" customWidth="1"/>
    <col min="2497" max="2497" width="11.42578125" style="66" customWidth="1"/>
    <col min="2498" max="2498" width="7.140625" style="66" bestFit="1" customWidth="1"/>
    <col min="2499" max="2500" width="19.28515625" style="66" customWidth="1"/>
    <col min="2501" max="2501" width="17.28515625" style="66" customWidth="1"/>
    <col min="2502" max="2502" width="22.42578125" style="66" bestFit="1" customWidth="1"/>
    <col min="2503" max="2503" width="20.28515625" style="66" customWidth="1"/>
    <col min="2504" max="2504" width="21" style="66" customWidth="1"/>
    <col min="2505" max="2750" width="9.140625" style="66"/>
    <col min="2751" max="2751" width="7.5703125" style="66" customWidth="1"/>
    <col min="2752" max="2752" width="59.5703125" style="66" customWidth="1"/>
    <col min="2753" max="2753" width="11.42578125" style="66" customWidth="1"/>
    <col min="2754" max="2754" width="7.140625" style="66" bestFit="1" customWidth="1"/>
    <col min="2755" max="2756" width="19.28515625" style="66" customWidth="1"/>
    <col min="2757" max="2757" width="17.28515625" style="66" customWidth="1"/>
    <col min="2758" max="2758" width="22.42578125" style="66" bestFit="1" customWidth="1"/>
    <col min="2759" max="2759" width="20.28515625" style="66" customWidth="1"/>
    <col min="2760" max="2760" width="21" style="66" customWidth="1"/>
    <col min="2761" max="3006" width="9.140625" style="66"/>
    <col min="3007" max="3007" width="7.5703125" style="66" customWidth="1"/>
    <col min="3008" max="3008" width="59.5703125" style="66" customWidth="1"/>
    <col min="3009" max="3009" width="11.42578125" style="66" customWidth="1"/>
    <col min="3010" max="3010" width="7.140625" style="66" bestFit="1" customWidth="1"/>
    <col min="3011" max="3012" width="19.28515625" style="66" customWidth="1"/>
    <col min="3013" max="3013" width="17.28515625" style="66" customWidth="1"/>
    <col min="3014" max="3014" width="22.42578125" style="66" bestFit="1" customWidth="1"/>
    <col min="3015" max="3015" width="20.28515625" style="66" customWidth="1"/>
    <col min="3016" max="3016" width="21" style="66" customWidth="1"/>
    <col min="3017" max="3262" width="9.140625" style="66"/>
    <col min="3263" max="3263" width="7.5703125" style="66" customWidth="1"/>
    <col min="3264" max="3264" width="59.5703125" style="66" customWidth="1"/>
    <col min="3265" max="3265" width="11.42578125" style="66" customWidth="1"/>
    <col min="3266" max="3266" width="7.140625" style="66" bestFit="1" customWidth="1"/>
    <col min="3267" max="3268" width="19.28515625" style="66" customWidth="1"/>
    <col min="3269" max="3269" width="17.28515625" style="66" customWidth="1"/>
    <col min="3270" max="3270" width="22.42578125" style="66" bestFit="1" customWidth="1"/>
    <col min="3271" max="3271" width="20.28515625" style="66" customWidth="1"/>
    <col min="3272" max="3272" width="21" style="66" customWidth="1"/>
    <col min="3273" max="3518" width="9.140625" style="66"/>
    <col min="3519" max="3519" width="7.5703125" style="66" customWidth="1"/>
    <col min="3520" max="3520" width="59.5703125" style="66" customWidth="1"/>
    <col min="3521" max="3521" width="11.42578125" style="66" customWidth="1"/>
    <col min="3522" max="3522" width="7.140625" style="66" bestFit="1" customWidth="1"/>
    <col min="3523" max="3524" width="19.28515625" style="66" customWidth="1"/>
    <col min="3525" max="3525" width="17.28515625" style="66" customWidth="1"/>
    <col min="3526" max="3526" width="22.42578125" style="66" bestFit="1" customWidth="1"/>
    <col min="3527" max="3527" width="20.28515625" style="66" customWidth="1"/>
    <col min="3528" max="3528" width="21" style="66" customWidth="1"/>
    <col min="3529" max="3774" width="9.140625" style="66"/>
    <col min="3775" max="3775" width="7.5703125" style="66" customWidth="1"/>
    <col min="3776" max="3776" width="59.5703125" style="66" customWidth="1"/>
    <col min="3777" max="3777" width="11.42578125" style="66" customWidth="1"/>
    <col min="3778" max="3778" width="7.140625" style="66" bestFit="1" customWidth="1"/>
    <col min="3779" max="3780" width="19.28515625" style="66" customWidth="1"/>
    <col min="3781" max="3781" width="17.28515625" style="66" customWidth="1"/>
    <col min="3782" max="3782" width="22.42578125" style="66" bestFit="1" customWidth="1"/>
    <col min="3783" max="3783" width="20.28515625" style="66" customWidth="1"/>
    <col min="3784" max="3784" width="21" style="66" customWidth="1"/>
    <col min="3785" max="4030" width="9.140625" style="66"/>
    <col min="4031" max="4031" width="7.5703125" style="66" customWidth="1"/>
    <col min="4032" max="4032" width="59.5703125" style="66" customWidth="1"/>
    <col min="4033" max="4033" width="11.42578125" style="66" customWidth="1"/>
    <col min="4034" max="4034" width="7.140625" style="66" bestFit="1" customWidth="1"/>
    <col min="4035" max="4036" width="19.28515625" style="66" customWidth="1"/>
    <col min="4037" max="4037" width="17.28515625" style="66" customWidth="1"/>
    <col min="4038" max="4038" width="22.42578125" style="66" bestFit="1" customWidth="1"/>
    <col min="4039" max="4039" width="20.28515625" style="66" customWidth="1"/>
    <col min="4040" max="4040" width="21" style="66" customWidth="1"/>
    <col min="4041" max="4286" width="9.140625" style="66"/>
    <col min="4287" max="4287" width="7.5703125" style="66" customWidth="1"/>
    <col min="4288" max="4288" width="59.5703125" style="66" customWidth="1"/>
    <col min="4289" max="4289" width="11.42578125" style="66" customWidth="1"/>
    <col min="4290" max="4290" width="7.140625" style="66" bestFit="1" customWidth="1"/>
    <col min="4291" max="4292" width="19.28515625" style="66" customWidth="1"/>
    <col min="4293" max="4293" width="17.28515625" style="66" customWidth="1"/>
    <col min="4294" max="4294" width="22.42578125" style="66" bestFit="1" customWidth="1"/>
    <col min="4295" max="4295" width="20.28515625" style="66" customWidth="1"/>
    <col min="4296" max="4296" width="21" style="66" customWidth="1"/>
    <col min="4297" max="4542" width="9.140625" style="66"/>
    <col min="4543" max="4543" width="7.5703125" style="66" customWidth="1"/>
    <col min="4544" max="4544" width="59.5703125" style="66" customWidth="1"/>
    <col min="4545" max="4545" width="11.42578125" style="66" customWidth="1"/>
    <col min="4546" max="4546" width="7.140625" style="66" bestFit="1" customWidth="1"/>
    <col min="4547" max="4548" width="19.28515625" style="66" customWidth="1"/>
    <col min="4549" max="4549" width="17.28515625" style="66" customWidth="1"/>
    <col min="4550" max="4550" width="22.42578125" style="66" bestFit="1" customWidth="1"/>
    <col min="4551" max="4551" width="20.28515625" style="66" customWidth="1"/>
    <col min="4552" max="4552" width="21" style="66" customWidth="1"/>
    <col min="4553" max="4798" width="9.140625" style="66"/>
    <col min="4799" max="4799" width="7.5703125" style="66" customWidth="1"/>
    <col min="4800" max="4800" width="59.5703125" style="66" customWidth="1"/>
    <col min="4801" max="4801" width="11.42578125" style="66" customWidth="1"/>
    <col min="4802" max="4802" width="7.140625" style="66" bestFit="1" customWidth="1"/>
    <col min="4803" max="4804" width="19.28515625" style="66" customWidth="1"/>
    <col min="4805" max="4805" width="17.28515625" style="66" customWidth="1"/>
    <col min="4806" max="4806" width="22.42578125" style="66" bestFit="1" customWidth="1"/>
    <col min="4807" max="4807" width="20.28515625" style="66" customWidth="1"/>
    <col min="4808" max="4808" width="21" style="66" customWidth="1"/>
    <col min="4809" max="5054" width="9.140625" style="66"/>
    <col min="5055" max="5055" width="7.5703125" style="66" customWidth="1"/>
    <col min="5056" max="5056" width="59.5703125" style="66" customWidth="1"/>
    <col min="5057" max="5057" width="11.42578125" style="66" customWidth="1"/>
    <col min="5058" max="5058" width="7.140625" style="66" bestFit="1" customWidth="1"/>
    <col min="5059" max="5060" width="19.28515625" style="66" customWidth="1"/>
    <col min="5061" max="5061" width="17.28515625" style="66" customWidth="1"/>
    <col min="5062" max="5062" width="22.42578125" style="66" bestFit="1" customWidth="1"/>
    <col min="5063" max="5063" width="20.28515625" style="66" customWidth="1"/>
    <col min="5064" max="5064" width="21" style="66" customWidth="1"/>
    <col min="5065" max="5310" width="9.140625" style="66"/>
    <col min="5311" max="5311" width="7.5703125" style="66" customWidth="1"/>
    <col min="5312" max="5312" width="59.5703125" style="66" customWidth="1"/>
    <col min="5313" max="5313" width="11.42578125" style="66" customWidth="1"/>
    <col min="5314" max="5314" width="7.140625" style="66" bestFit="1" customWidth="1"/>
    <col min="5315" max="5316" width="19.28515625" style="66" customWidth="1"/>
    <col min="5317" max="5317" width="17.28515625" style="66" customWidth="1"/>
    <col min="5318" max="5318" width="22.42578125" style="66" bestFit="1" customWidth="1"/>
    <col min="5319" max="5319" width="20.28515625" style="66" customWidth="1"/>
    <col min="5320" max="5320" width="21" style="66" customWidth="1"/>
    <col min="5321" max="5566" width="9.140625" style="66"/>
    <col min="5567" max="5567" width="7.5703125" style="66" customWidth="1"/>
    <col min="5568" max="5568" width="59.5703125" style="66" customWidth="1"/>
    <col min="5569" max="5569" width="11.42578125" style="66" customWidth="1"/>
    <col min="5570" max="5570" width="7.140625" style="66" bestFit="1" customWidth="1"/>
    <col min="5571" max="5572" width="19.28515625" style="66" customWidth="1"/>
    <col min="5573" max="5573" width="17.28515625" style="66" customWidth="1"/>
    <col min="5574" max="5574" width="22.42578125" style="66" bestFit="1" customWidth="1"/>
    <col min="5575" max="5575" width="20.28515625" style="66" customWidth="1"/>
    <col min="5576" max="5576" width="21" style="66" customWidth="1"/>
    <col min="5577" max="5822" width="9.140625" style="66"/>
    <col min="5823" max="5823" width="7.5703125" style="66" customWidth="1"/>
    <col min="5824" max="5824" width="59.5703125" style="66" customWidth="1"/>
    <col min="5825" max="5825" width="11.42578125" style="66" customWidth="1"/>
    <col min="5826" max="5826" width="7.140625" style="66" bestFit="1" customWidth="1"/>
    <col min="5827" max="5828" width="19.28515625" style="66" customWidth="1"/>
    <col min="5829" max="5829" width="17.28515625" style="66" customWidth="1"/>
    <col min="5830" max="5830" width="22.42578125" style="66" bestFit="1" customWidth="1"/>
    <col min="5831" max="5831" width="20.28515625" style="66" customWidth="1"/>
    <col min="5832" max="5832" width="21" style="66" customWidth="1"/>
    <col min="5833" max="6078" width="9.140625" style="66"/>
    <col min="6079" max="6079" width="7.5703125" style="66" customWidth="1"/>
    <col min="6080" max="6080" width="59.5703125" style="66" customWidth="1"/>
    <col min="6081" max="6081" width="11.42578125" style="66" customWidth="1"/>
    <col min="6082" max="6082" width="7.140625" style="66" bestFit="1" customWidth="1"/>
    <col min="6083" max="6084" width="19.28515625" style="66" customWidth="1"/>
    <col min="6085" max="6085" width="17.28515625" style="66" customWidth="1"/>
    <col min="6086" max="6086" width="22.42578125" style="66" bestFit="1" customWidth="1"/>
    <col min="6087" max="6087" width="20.28515625" style="66" customWidth="1"/>
    <col min="6088" max="6088" width="21" style="66" customWidth="1"/>
    <col min="6089" max="6334" width="9.140625" style="66"/>
    <col min="6335" max="6335" width="7.5703125" style="66" customWidth="1"/>
    <col min="6336" max="6336" width="59.5703125" style="66" customWidth="1"/>
    <col min="6337" max="6337" width="11.42578125" style="66" customWidth="1"/>
    <col min="6338" max="6338" width="7.140625" style="66" bestFit="1" customWidth="1"/>
    <col min="6339" max="6340" width="19.28515625" style="66" customWidth="1"/>
    <col min="6341" max="6341" width="17.28515625" style="66" customWidth="1"/>
    <col min="6342" max="6342" width="22.42578125" style="66" bestFit="1" customWidth="1"/>
    <col min="6343" max="6343" width="20.28515625" style="66" customWidth="1"/>
    <col min="6344" max="6344" width="21" style="66" customWidth="1"/>
    <col min="6345" max="6590" width="9.140625" style="66"/>
    <col min="6591" max="6591" width="7.5703125" style="66" customWidth="1"/>
    <col min="6592" max="6592" width="59.5703125" style="66" customWidth="1"/>
    <col min="6593" max="6593" width="11.42578125" style="66" customWidth="1"/>
    <col min="6594" max="6594" width="7.140625" style="66" bestFit="1" customWidth="1"/>
    <col min="6595" max="6596" width="19.28515625" style="66" customWidth="1"/>
    <col min="6597" max="6597" width="17.28515625" style="66" customWidth="1"/>
    <col min="6598" max="6598" width="22.42578125" style="66" bestFit="1" customWidth="1"/>
    <col min="6599" max="6599" width="20.28515625" style="66" customWidth="1"/>
    <col min="6600" max="6600" width="21" style="66" customWidth="1"/>
    <col min="6601" max="6846" width="9.140625" style="66"/>
    <col min="6847" max="6847" width="7.5703125" style="66" customWidth="1"/>
    <col min="6848" max="6848" width="59.5703125" style="66" customWidth="1"/>
    <col min="6849" max="6849" width="11.42578125" style="66" customWidth="1"/>
    <col min="6850" max="6850" width="7.140625" style="66" bestFit="1" customWidth="1"/>
    <col min="6851" max="6852" width="19.28515625" style="66" customWidth="1"/>
    <col min="6853" max="6853" width="17.28515625" style="66" customWidth="1"/>
    <col min="6854" max="6854" width="22.42578125" style="66" bestFit="1" customWidth="1"/>
    <col min="6855" max="6855" width="20.28515625" style="66" customWidth="1"/>
    <col min="6856" max="6856" width="21" style="66" customWidth="1"/>
    <col min="6857" max="7102" width="9.140625" style="66"/>
    <col min="7103" max="7103" width="7.5703125" style="66" customWidth="1"/>
    <col min="7104" max="7104" width="59.5703125" style="66" customWidth="1"/>
    <col min="7105" max="7105" width="11.42578125" style="66" customWidth="1"/>
    <col min="7106" max="7106" width="7.140625" style="66" bestFit="1" customWidth="1"/>
    <col min="7107" max="7108" width="19.28515625" style="66" customWidth="1"/>
    <col min="7109" max="7109" width="17.28515625" style="66" customWidth="1"/>
    <col min="7110" max="7110" width="22.42578125" style="66" bestFit="1" customWidth="1"/>
    <col min="7111" max="7111" width="20.28515625" style="66" customWidth="1"/>
    <col min="7112" max="7112" width="21" style="66" customWidth="1"/>
    <col min="7113" max="7358" width="9.140625" style="66"/>
    <col min="7359" max="7359" width="7.5703125" style="66" customWidth="1"/>
    <col min="7360" max="7360" width="59.5703125" style="66" customWidth="1"/>
    <col min="7361" max="7361" width="11.42578125" style="66" customWidth="1"/>
    <col min="7362" max="7362" width="7.140625" style="66" bestFit="1" customWidth="1"/>
    <col min="7363" max="7364" width="19.28515625" style="66" customWidth="1"/>
    <col min="7365" max="7365" width="17.28515625" style="66" customWidth="1"/>
    <col min="7366" max="7366" width="22.42578125" style="66" bestFit="1" customWidth="1"/>
    <col min="7367" max="7367" width="20.28515625" style="66" customWidth="1"/>
    <col min="7368" max="7368" width="21" style="66" customWidth="1"/>
    <col min="7369" max="7614" width="9.140625" style="66"/>
    <col min="7615" max="7615" width="7.5703125" style="66" customWidth="1"/>
    <col min="7616" max="7616" width="59.5703125" style="66" customWidth="1"/>
    <col min="7617" max="7617" width="11.42578125" style="66" customWidth="1"/>
    <col min="7618" max="7618" width="7.140625" style="66" bestFit="1" customWidth="1"/>
    <col min="7619" max="7620" width="19.28515625" style="66" customWidth="1"/>
    <col min="7621" max="7621" width="17.28515625" style="66" customWidth="1"/>
    <col min="7622" max="7622" width="22.42578125" style="66" bestFit="1" customWidth="1"/>
    <col min="7623" max="7623" width="20.28515625" style="66" customWidth="1"/>
    <col min="7624" max="7624" width="21" style="66" customWidth="1"/>
    <col min="7625" max="7870" width="9.140625" style="66"/>
    <col min="7871" max="7871" width="7.5703125" style="66" customWidth="1"/>
    <col min="7872" max="7872" width="59.5703125" style="66" customWidth="1"/>
    <col min="7873" max="7873" width="11.42578125" style="66" customWidth="1"/>
    <col min="7874" max="7874" width="7.140625" style="66" bestFit="1" customWidth="1"/>
    <col min="7875" max="7876" width="19.28515625" style="66" customWidth="1"/>
    <col min="7877" max="7877" width="17.28515625" style="66" customWidth="1"/>
    <col min="7878" max="7878" width="22.42578125" style="66" bestFit="1" customWidth="1"/>
    <col min="7879" max="7879" width="20.28515625" style="66" customWidth="1"/>
    <col min="7880" max="7880" width="21" style="66" customWidth="1"/>
    <col min="7881" max="8126" width="9.140625" style="66"/>
    <col min="8127" max="8127" width="7.5703125" style="66" customWidth="1"/>
    <col min="8128" max="8128" width="59.5703125" style="66" customWidth="1"/>
    <col min="8129" max="8129" width="11.42578125" style="66" customWidth="1"/>
    <col min="8130" max="8130" width="7.140625" style="66" bestFit="1" customWidth="1"/>
    <col min="8131" max="8132" width="19.28515625" style="66" customWidth="1"/>
    <col min="8133" max="8133" width="17.28515625" style="66" customWidth="1"/>
    <col min="8134" max="8134" width="22.42578125" style="66" bestFit="1" customWidth="1"/>
    <col min="8135" max="8135" width="20.28515625" style="66" customWidth="1"/>
    <col min="8136" max="8136" width="21" style="66" customWidth="1"/>
    <col min="8137" max="8382" width="9.140625" style="66"/>
    <col min="8383" max="8383" width="7.5703125" style="66" customWidth="1"/>
    <col min="8384" max="8384" width="59.5703125" style="66" customWidth="1"/>
    <col min="8385" max="8385" width="11.42578125" style="66" customWidth="1"/>
    <col min="8386" max="8386" width="7.140625" style="66" bestFit="1" customWidth="1"/>
    <col min="8387" max="8388" width="19.28515625" style="66" customWidth="1"/>
    <col min="8389" max="8389" width="17.28515625" style="66" customWidth="1"/>
    <col min="8390" max="8390" width="22.42578125" style="66" bestFit="1" customWidth="1"/>
    <col min="8391" max="8391" width="20.28515625" style="66" customWidth="1"/>
    <col min="8392" max="8392" width="21" style="66" customWidth="1"/>
    <col min="8393" max="8638" width="9.140625" style="66"/>
    <col min="8639" max="8639" width="7.5703125" style="66" customWidth="1"/>
    <col min="8640" max="8640" width="59.5703125" style="66" customWidth="1"/>
    <col min="8641" max="8641" width="11.42578125" style="66" customWidth="1"/>
    <col min="8642" max="8642" width="7.140625" style="66" bestFit="1" customWidth="1"/>
    <col min="8643" max="8644" width="19.28515625" style="66" customWidth="1"/>
    <col min="8645" max="8645" width="17.28515625" style="66" customWidth="1"/>
    <col min="8646" max="8646" width="22.42578125" style="66" bestFit="1" customWidth="1"/>
    <col min="8647" max="8647" width="20.28515625" style="66" customWidth="1"/>
    <col min="8648" max="8648" width="21" style="66" customWidth="1"/>
    <col min="8649" max="8894" width="9.140625" style="66"/>
    <col min="8895" max="8895" width="7.5703125" style="66" customWidth="1"/>
    <col min="8896" max="8896" width="59.5703125" style="66" customWidth="1"/>
    <col min="8897" max="8897" width="11.42578125" style="66" customWidth="1"/>
    <col min="8898" max="8898" width="7.140625" style="66" bestFit="1" customWidth="1"/>
    <col min="8899" max="8900" width="19.28515625" style="66" customWidth="1"/>
    <col min="8901" max="8901" width="17.28515625" style="66" customWidth="1"/>
    <col min="8902" max="8902" width="22.42578125" style="66" bestFit="1" customWidth="1"/>
    <col min="8903" max="8903" width="20.28515625" style="66" customWidth="1"/>
    <col min="8904" max="8904" width="21" style="66" customWidth="1"/>
    <col min="8905" max="9150" width="9.140625" style="66"/>
    <col min="9151" max="9151" width="7.5703125" style="66" customWidth="1"/>
    <col min="9152" max="9152" width="59.5703125" style="66" customWidth="1"/>
    <col min="9153" max="9153" width="11.42578125" style="66" customWidth="1"/>
    <col min="9154" max="9154" width="7.140625" style="66" bestFit="1" customWidth="1"/>
    <col min="9155" max="9156" width="19.28515625" style="66" customWidth="1"/>
    <col min="9157" max="9157" width="17.28515625" style="66" customWidth="1"/>
    <col min="9158" max="9158" width="22.42578125" style="66" bestFit="1" customWidth="1"/>
    <col min="9159" max="9159" width="20.28515625" style="66" customWidth="1"/>
    <col min="9160" max="9160" width="21" style="66" customWidth="1"/>
    <col min="9161" max="9406" width="9.140625" style="66"/>
    <col min="9407" max="9407" width="7.5703125" style="66" customWidth="1"/>
    <col min="9408" max="9408" width="59.5703125" style="66" customWidth="1"/>
    <col min="9409" max="9409" width="11.42578125" style="66" customWidth="1"/>
    <col min="9410" max="9410" width="7.140625" style="66" bestFit="1" customWidth="1"/>
    <col min="9411" max="9412" width="19.28515625" style="66" customWidth="1"/>
    <col min="9413" max="9413" width="17.28515625" style="66" customWidth="1"/>
    <col min="9414" max="9414" width="22.42578125" style="66" bestFit="1" customWidth="1"/>
    <col min="9415" max="9415" width="20.28515625" style="66" customWidth="1"/>
    <col min="9416" max="9416" width="21" style="66" customWidth="1"/>
    <col min="9417" max="9662" width="9.140625" style="66"/>
    <col min="9663" max="9663" width="7.5703125" style="66" customWidth="1"/>
    <col min="9664" max="9664" width="59.5703125" style="66" customWidth="1"/>
    <col min="9665" max="9665" width="11.42578125" style="66" customWidth="1"/>
    <col min="9666" max="9666" width="7.140625" style="66" bestFit="1" customWidth="1"/>
    <col min="9667" max="9668" width="19.28515625" style="66" customWidth="1"/>
    <col min="9669" max="9669" width="17.28515625" style="66" customWidth="1"/>
    <col min="9670" max="9670" width="22.42578125" style="66" bestFit="1" customWidth="1"/>
    <col min="9671" max="9671" width="20.28515625" style="66" customWidth="1"/>
    <col min="9672" max="9672" width="21" style="66" customWidth="1"/>
    <col min="9673" max="9918" width="9.140625" style="66"/>
    <col min="9919" max="9919" width="7.5703125" style="66" customWidth="1"/>
    <col min="9920" max="9920" width="59.5703125" style="66" customWidth="1"/>
    <col min="9921" max="9921" width="11.42578125" style="66" customWidth="1"/>
    <col min="9922" max="9922" width="7.140625" style="66" bestFit="1" customWidth="1"/>
    <col min="9923" max="9924" width="19.28515625" style="66" customWidth="1"/>
    <col min="9925" max="9925" width="17.28515625" style="66" customWidth="1"/>
    <col min="9926" max="9926" width="22.42578125" style="66" bestFit="1" customWidth="1"/>
    <col min="9927" max="9927" width="20.28515625" style="66" customWidth="1"/>
    <col min="9928" max="9928" width="21" style="66" customWidth="1"/>
    <col min="9929" max="10174" width="9.140625" style="66"/>
    <col min="10175" max="10175" width="7.5703125" style="66" customWidth="1"/>
    <col min="10176" max="10176" width="59.5703125" style="66" customWidth="1"/>
    <col min="10177" max="10177" width="11.42578125" style="66" customWidth="1"/>
    <col min="10178" max="10178" width="7.140625" style="66" bestFit="1" customWidth="1"/>
    <col min="10179" max="10180" width="19.28515625" style="66" customWidth="1"/>
    <col min="10181" max="10181" width="17.28515625" style="66" customWidth="1"/>
    <col min="10182" max="10182" width="22.42578125" style="66" bestFit="1" customWidth="1"/>
    <col min="10183" max="10183" width="20.28515625" style="66" customWidth="1"/>
    <col min="10184" max="10184" width="21" style="66" customWidth="1"/>
    <col min="10185" max="10430" width="9.140625" style="66"/>
    <col min="10431" max="10431" width="7.5703125" style="66" customWidth="1"/>
    <col min="10432" max="10432" width="59.5703125" style="66" customWidth="1"/>
    <col min="10433" max="10433" width="11.42578125" style="66" customWidth="1"/>
    <col min="10434" max="10434" width="7.140625" style="66" bestFit="1" customWidth="1"/>
    <col min="10435" max="10436" width="19.28515625" style="66" customWidth="1"/>
    <col min="10437" max="10437" width="17.28515625" style="66" customWidth="1"/>
    <col min="10438" max="10438" width="22.42578125" style="66" bestFit="1" customWidth="1"/>
    <col min="10439" max="10439" width="20.28515625" style="66" customWidth="1"/>
    <col min="10440" max="10440" width="21" style="66" customWidth="1"/>
    <col min="10441" max="10686" width="9.140625" style="66"/>
    <col min="10687" max="10687" width="7.5703125" style="66" customWidth="1"/>
    <col min="10688" max="10688" width="59.5703125" style="66" customWidth="1"/>
    <col min="10689" max="10689" width="11.42578125" style="66" customWidth="1"/>
    <col min="10690" max="10690" width="7.140625" style="66" bestFit="1" customWidth="1"/>
    <col min="10691" max="10692" width="19.28515625" style="66" customWidth="1"/>
    <col min="10693" max="10693" width="17.28515625" style="66" customWidth="1"/>
    <col min="10694" max="10694" width="22.42578125" style="66" bestFit="1" customWidth="1"/>
    <col min="10695" max="10695" width="20.28515625" style="66" customWidth="1"/>
    <col min="10696" max="10696" width="21" style="66" customWidth="1"/>
    <col min="10697" max="10942" width="9.140625" style="66"/>
    <col min="10943" max="10943" width="7.5703125" style="66" customWidth="1"/>
    <col min="10944" max="10944" width="59.5703125" style="66" customWidth="1"/>
    <col min="10945" max="10945" width="11.42578125" style="66" customWidth="1"/>
    <col min="10946" max="10946" width="7.140625" style="66" bestFit="1" customWidth="1"/>
    <col min="10947" max="10948" width="19.28515625" style="66" customWidth="1"/>
    <col min="10949" max="10949" width="17.28515625" style="66" customWidth="1"/>
    <col min="10950" max="10950" width="22.42578125" style="66" bestFit="1" customWidth="1"/>
    <col min="10951" max="10951" width="20.28515625" style="66" customWidth="1"/>
    <col min="10952" max="10952" width="21" style="66" customWidth="1"/>
    <col min="10953" max="11198" width="9.140625" style="66"/>
    <col min="11199" max="11199" width="7.5703125" style="66" customWidth="1"/>
    <col min="11200" max="11200" width="59.5703125" style="66" customWidth="1"/>
    <col min="11201" max="11201" width="11.42578125" style="66" customWidth="1"/>
    <col min="11202" max="11202" width="7.140625" style="66" bestFit="1" customWidth="1"/>
    <col min="11203" max="11204" width="19.28515625" style="66" customWidth="1"/>
    <col min="11205" max="11205" width="17.28515625" style="66" customWidth="1"/>
    <col min="11206" max="11206" width="22.42578125" style="66" bestFit="1" customWidth="1"/>
    <col min="11207" max="11207" width="20.28515625" style="66" customWidth="1"/>
    <col min="11208" max="11208" width="21" style="66" customWidth="1"/>
    <col min="11209" max="11454" width="9.140625" style="66"/>
    <col min="11455" max="11455" width="7.5703125" style="66" customWidth="1"/>
    <col min="11456" max="11456" width="59.5703125" style="66" customWidth="1"/>
    <col min="11457" max="11457" width="11.42578125" style="66" customWidth="1"/>
    <col min="11458" max="11458" width="7.140625" style="66" bestFit="1" customWidth="1"/>
    <col min="11459" max="11460" width="19.28515625" style="66" customWidth="1"/>
    <col min="11461" max="11461" width="17.28515625" style="66" customWidth="1"/>
    <col min="11462" max="11462" width="22.42578125" style="66" bestFit="1" customWidth="1"/>
    <col min="11463" max="11463" width="20.28515625" style="66" customWidth="1"/>
    <col min="11464" max="11464" width="21" style="66" customWidth="1"/>
    <col min="11465" max="11710" width="9.140625" style="66"/>
    <col min="11711" max="11711" width="7.5703125" style="66" customWidth="1"/>
    <col min="11712" max="11712" width="59.5703125" style="66" customWidth="1"/>
    <col min="11713" max="11713" width="11.42578125" style="66" customWidth="1"/>
    <col min="11714" max="11714" width="7.140625" style="66" bestFit="1" customWidth="1"/>
    <col min="11715" max="11716" width="19.28515625" style="66" customWidth="1"/>
    <col min="11717" max="11717" width="17.28515625" style="66" customWidth="1"/>
    <col min="11718" max="11718" width="22.42578125" style="66" bestFit="1" customWidth="1"/>
    <col min="11719" max="11719" width="20.28515625" style="66" customWidth="1"/>
    <col min="11720" max="11720" width="21" style="66" customWidth="1"/>
    <col min="11721" max="11966" width="9.140625" style="66"/>
    <col min="11967" max="11967" width="7.5703125" style="66" customWidth="1"/>
    <col min="11968" max="11968" width="59.5703125" style="66" customWidth="1"/>
    <col min="11969" max="11969" width="11.42578125" style="66" customWidth="1"/>
    <col min="11970" max="11970" width="7.140625" style="66" bestFit="1" customWidth="1"/>
    <col min="11971" max="11972" width="19.28515625" style="66" customWidth="1"/>
    <col min="11973" max="11973" width="17.28515625" style="66" customWidth="1"/>
    <col min="11974" max="11974" width="22.42578125" style="66" bestFit="1" customWidth="1"/>
    <col min="11975" max="11975" width="20.28515625" style="66" customWidth="1"/>
    <col min="11976" max="11976" width="21" style="66" customWidth="1"/>
    <col min="11977" max="12222" width="9.140625" style="66"/>
    <col min="12223" max="12223" width="7.5703125" style="66" customWidth="1"/>
    <col min="12224" max="12224" width="59.5703125" style="66" customWidth="1"/>
    <col min="12225" max="12225" width="11.42578125" style="66" customWidth="1"/>
    <col min="12226" max="12226" width="7.140625" style="66" bestFit="1" customWidth="1"/>
    <col min="12227" max="12228" width="19.28515625" style="66" customWidth="1"/>
    <col min="12229" max="12229" width="17.28515625" style="66" customWidth="1"/>
    <col min="12230" max="12230" width="22.42578125" style="66" bestFit="1" customWidth="1"/>
    <col min="12231" max="12231" width="20.28515625" style="66" customWidth="1"/>
    <col min="12232" max="12232" width="21" style="66" customWidth="1"/>
    <col min="12233" max="12478" width="9.140625" style="66"/>
    <col min="12479" max="12479" width="7.5703125" style="66" customWidth="1"/>
    <col min="12480" max="12480" width="59.5703125" style="66" customWidth="1"/>
    <col min="12481" max="12481" width="11.42578125" style="66" customWidth="1"/>
    <col min="12482" max="12482" width="7.140625" style="66" bestFit="1" customWidth="1"/>
    <col min="12483" max="12484" width="19.28515625" style="66" customWidth="1"/>
    <col min="12485" max="12485" width="17.28515625" style="66" customWidth="1"/>
    <col min="12486" max="12486" width="22.42578125" style="66" bestFit="1" customWidth="1"/>
    <col min="12487" max="12487" width="20.28515625" style="66" customWidth="1"/>
    <col min="12488" max="12488" width="21" style="66" customWidth="1"/>
    <col min="12489" max="12734" width="9.140625" style="66"/>
    <col min="12735" max="12735" width="7.5703125" style="66" customWidth="1"/>
    <col min="12736" max="12736" width="59.5703125" style="66" customWidth="1"/>
    <col min="12737" max="12737" width="11.42578125" style="66" customWidth="1"/>
    <col min="12738" max="12738" width="7.140625" style="66" bestFit="1" customWidth="1"/>
    <col min="12739" max="12740" width="19.28515625" style="66" customWidth="1"/>
    <col min="12741" max="12741" width="17.28515625" style="66" customWidth="1"/>
    <col min="12742" max="12742" width="22.42578125" style="66" bestFit="1" customWidth="1"/>
    <col min="12743" max="12743" width="20.28515625" style="66" customWidth="1"/>
    <col min="12744" max="12744" width="21" style="66" customWidth="1"/>
    <col min="12745" max="12990" width="9.140625" style="66"/>
    <col min="12991" max="12991" width="7.5703125" style="66" customWidth="1"/>
    <col min="12992" max="12992" width="59.5703125" style="66" customWidth="1"/>
    <col min="12993" max="12993" width="11.42578125" style="66" customWidth="1"/>
    <col min="12994" max="12994" width="7.140625" style="66" bestFit="1" customWidth="1"/>
    <col min="12995" max="12996" width="19.28515625" style="66" customWidth="1"/>
    <col min="12997" max="12997" width="17.28515625" style="66" customWidth="1"/>
    <col min="12998" max="12998" width="22.42578125" style="66" bestFit="1" customWidth="1"/>
    <col min="12999" max="12999" width="20.28515625" style="66" customWidth="1"/>
    <col min="13000" max="13000" width="21" style="66" customWidth="1"/>
    <col min="13001" max="13246" width="9.140625" style="66"/>
    <col min="13247" max="13247" width="7.5703125" style="66" customWidth="1"/>
    <col min="13248" max="13248" width="59.5703125" style="66" customWidth="1"/>
    <col min="13249" max="13249" width="11.42578125" style="66" customWidth="1"/>
    <col min="13250" max="13250" width="7.140625" style="66" bestFit="1" customWidth="1"/>
    <col min="13251" max="13252" width="19.28515625" style="66" customWidth="1"/>
    <col min="13253" max="13253" width="17.28515625" style="66" customWidth="1"/>
    <col min="13254" max="13254" width="22.42578125" style="66" bestFit="1" customWidth="1"/>
    <col min="13255" max="13255" width="20.28515625" style="66" customWidth="1"/>
    <col min="13256" max="13256" width="21" style="66" customWidth="1"/>
    <col min="13257" max="13502" width="9.140625" style="66"/>
    <col min="13503" max="13503" width="7.5703125" style="66" customWidth="1"/>
    <col min="13504" max="13504" width="59.5703125" style="66" customWidth="1"/>
    <col min="13505" max="13505" width="11.42578125" style="66" customWidth="1"/>
    <col min="13506" max="13506" width="7.140625" style="66" bestFit="1" customWidth="1"/>
    <col min="13507" max="13508" width="19.28515625" style="66" customWidth="1"/>
    <col min="13509" max="13509" width="17.28515625" style="66" customWidth="1"/>
    <col min="13510" max="13510" width="22.42578125" style="66" bestFit="1" customWidth="1"/>
    <col min="13511" max="13511" width="20.28515625" style="66" customWidth="1"/>
    <col min="13512" max="13512" width="21" style="66" customWidth="1"/>
    <col min="13513" max="16384" width="9.140625" style="66"/>
  </cols>
  <sheetData>
    <row r="1" spans="1:12" ht="20.25">
      <c r="A1" s="168" t="s">
        <v>57</v>
      </c>
      <c r="B1" s="105"/>
      <c r="C1" s="105"/>
      <c r="D1" s="106"/>
      <c r="E1" s="67"/>
      <c r="G1" s="66"/>
      <c r="H1" s="66"/>
      <c r="I1" s="66"/>
      <c r="J1" s="66"/>
      <c r="K1" s="66"/>
      <c r="L1" s="66"/>
    </row>
    <row r="2" spans="1:12" ht="18.75">
      <c r="A2" s="165" t="s">
        <v>43</v>
      </c>
      <c r="B2" s="105"/>
      <c r="C2" s="105" t="s">
        <v>44</v>
      </c>
      <c r="D2" s="17" t="s">
        <v>174</v>
      </c>
      <c r="E2" s="67"/>
      <c r="G2" s="115"/>
      <c r="H2" s="66"/>
      <c r="I2" s="66"/>
      <c r="J2" s="66"/>
      <c r="K2" s="66"/>
      <c r="L2" s="66"/>
    </row>
    <row r="3" spans="1:12" ht="18.75">
      <c r="A3" s="165" t="s">
        <v>45</v>
      </c>
      <c r="B3" s="105"/>
      <c r="C3" s="105" t="s">
        <v>44</v>
      </c>
      <c r="D3" s="17"/>
      <c r="E3" s="67"/>
      <c r="G3" s="66"/>
      <c r="H3" s="66"/>
      <c r="I3" s="66"/>
      <c r="J3" s="66"/>
      <c r="K3" s="66"/>
      <c r="L3" s="66"/>
    </row>
    <row r="4" spans="1:12" ht="19.5" thickBot="1">
      <c r="A4" s="150" t="s">
        <v>46</v>
      </c>
      <c r="B4" s="107"/>
      <c r="C4" s="107" t="s">
        <v>44</v>
      </c>
      <c r="D4" s="107"/>
      <c r="E4" s="70"/>
      <c r="F4" s="71"/>
      <c r="G4" s="72"/>
      <c r="H4" s="72"/>
      <c r="I4" s="72"/>
      <c r="J4" s="72"/>
      <c r="K4" s="72"/>
      <c r="L4" s="72"/>
    </row>
    <row r="5" spans="1:12" s="69" customFormat="1" ht="33">
      <c r="A5" s="207" t="s">
        <v>0</v>
      </c>
      <c r="B5" s="211" t="s">
        <v>1</v>
      </c>
      <c r="C5" s="212"/>
      <c r="D5" s="213"/>
      <c r="E5" s="209" t="s">
        <v>47</v>
      </c>
      <c r="F5" s="209"/>
      <c r="G5" s="73" t="s">
        <v>77</v>
      </c>
      <c r="H5" s="73" t="s">
        <v>78</v>
      </c>
      <c r="I5" s="74" t="s">
        <v>75</v>
      </c>
      <c r="J5" s="73" t="s">
        <v>79</v>
      </c>
      <c r="K5" s="73" t="s">
        <v>80</v>
      </c>
      <c r="L5" s="73" t="s">
        <v>76</v>
      </c>
    </row>
    <row r="6" spans="1:12" s="69" customFormat="1" ht="17.25" thickBot="1">
      <c r="A6" s="208"/>
      <c r="B6" s="214"/>
      <c r="C6" s="215"/>
      <c r="D6" s="216"/>
      <c r="E6" s="210"/>
      <c r="F6" s="210"/>
      <c r="G6" s="75" t="s">
        <v>49</v>
      </c>
      <c r="H6" s="75" t="s">
        <v>49</v>
      </c>
      <c r="I6" s="75" t="s">
        <v>49</v>
      </c>
      <c r="J6" s="75" t="s">
        <v>49</v>
      </c>
      <c r="K6" s="75" t="s">
        <v>49</v>
      </c>
      <c r="L6" s="75" t="s">
        <v>49</v>
      </c>
    </row>
    <row r="7" spans="1:12" ht="19.5" thickTop="1">
      <c r="A7" s="163" t="s">
        <v>2</v>
      </c>
      <c r="B7" s="164" t="s">
        <v>112</v>
      </c>
      <c r="C7" s="76"/>
      <c r="D7" s="77"/>
      <c r="E7" s="78"/>
      <c r="F7" s="79"/>
      <c r="G7" s="80"/>
      <c r="H7" s="80"/>
      <c r="I7" s="80"/>
      <c r="J7" s="80"/>
      <c r="K7" s="80"/>
      <c r="L7" s="80"/>
    </row>
    <row r="8" spans="1:12" ht="13.5" customHeight="1">
      <c r="A8" s="155" t="s">
        <v>2</v>
      </c>
      <c r="B8" s="156" t="s">
        <v>3</v>
      </c>
      <c r="C8" s="81"/>
      <c r="D8" s="147"/>
      <c r="E8" s="82"/>
      <c r="F8" s="83"/>
      <c r="G8" s="84"/>
      <c r="H8" s="84"/>
      <c r="I8" s="84"/>
      <c r="J8" s="84"/>
      <c r="K8" s="84"/>
      <c r="L8" s="84"/>
    </row>
    <row r="9" spans="1:12">
      <c r="A9" s="176">
        <v>1</v>
      </c>
      <c r="B9" s="157" t="s">
        <v>83</v>
      </c>
      <c r="C9" s="81"/>
      <c r="D9" s="124"/>
      <c r="E9" s="200">
        <f>15*4+8.7*6</f>
        <v>112.19999999999999</v>
      </c>
      <c r="F9" s="158" t="s">
        <v>21</v>
      </c>
      <c r="G9" s="85">
        <f>25000</f>
        <v>25000</v>
      </c>
      <c r="H9" s="84">
        <v>8000</v>
      </c>
      <c r="I9" s="84">
        <f>H9+G9</f>
        <v>33000</v>
      </c>
      <c r="J9" s="84">
        <f>E9*G9</f>
        <v>2804999.9999999995</v>
      </c>
      <c r="K9" s="84">
        <f>E9*H9</f>
        <v>897599.99999999988</v>
      </c>
      <c r="L9" s="84">
        <f>K9+J9</f>
        <v>3702599.9999999995</v>
      </c>
    </row>
    <row r="10" spans="1:12">
      <c r="A10" s="176">
        <v>2</v>
      </c>
      <c r="B10" s="157" t="s">
        <v>70</v>
      </c>
      <c r="C10" s="81"/>
      <c r="D10" s="124"/>
      <c r="E10" s="200">
        <f>15*8.7</f>
        <v>130.5</v>
      </c>
      <c r="F10" s="158" t="s">
        <v>22</v>
      </c>
      <c r="G10" s="85">
        <v>10500</v>
      </c>
      <c r="H10" s="84">
        <v>4500</v>
      </c>
      <c r="I10" s="84">
        <f t="shared" ref="I10:I72" si="0">H10+G10</f>
        <v>15000</v>
      </c>
      <c r="J10" s="84">
        <f t="shared" ref="J10:J14" si="1">E10*G10</f>
        <v>1370250</v>
      </c>
      <c r="K10" s="84">
        <f t="shared" ref="K10:K14" si="2">E10*H10</f>
        <v>587250</v>
      </c>
      <c r="L10" s="84">
        <f t="shared" ref="L10:L14" si="3">K10+J10</f>
        <v>1957500</v>
      </c>
    </row>
    <row r="11" spans="1:12">
      <c r="A11" s="176">
        <f t="shared" ref="A11:A14" si="4">A10+1</f>
        <v>3</v>
      </c>
      <c r="B11" s="169" t="s">
        <v>58</v>
      </c>
      <c r="C11" s="81"/>
      <c r="D11" s="124"/>
      <c r="E11" s="205">
        <v>60</v>
      </c>
      <c r="F11" s="206" t="s">
        <v>21</v>
      </c>
      <c r="G11" s="85">
        <v>135000</v>
      </c>
      <c r="H11" s="84">
        <v>75000</v>
      </c>
      <c r="I11" s="84">
        <f t="shared" si="0"/>
        <v>210000</v>
      </c>
      <c r="J11" s="84">
        <f t="shared" si="1"/>
        <v>8100000</v>
      </c>
      <c r="K11" s="84">
        <f t="shared" si="2"/>
        <v>4500000</v>
      </c>
      <c r="L11" s="84">
        <f t="shared" si="3"/>
        <v>12600000</v>
      </c>
    </row>
    <row r="12" spans="1:12">
      <c r="A12" s="176">
        <f t="shared" si="4"/>
        <v>4</v>
      </c>
      <c r="B12" s="169" t="s">
        <v>81</v>
      </c>
      <c r="C12" s="81"/>
      <c r="D12" s="124"/>
      <c r="E12" s="205">
        <v>1</v>
      </c>
      <c r="F12" s="206"/>
      <c r="G12" s="85"/>
      <c r="H12" s="84"/>
      <c r="I12" s="84">
        <f t="shared" si="0"/>
        <v>0</v>
      </c>
      <c r="J12" s="84">
        <f t="shared" si="1"/>
        <v>0</v>
      </c>
      <c r="K12" s="84">
        <f t="shared" si="2"/>
        <v>0</v>
      </c>
      <c r="L12" s="84">
        <f t="shared" si="3"/>
        <v>0</v>
      </c>
    </row>
    <row r="13" spans="1:12">
      <c r="A13" s="176">
        <f t="shared" si="4"/>
        <v>5</v>
      </c>
      <c r="B13" s="169" t="s">
        <v>82</v>
      </c>
      <c r="C13" s="81"/>
      <c r="D13" s="124"/>
      <c r="E13" s="205">
        <v>1</v>
      </c>
      <c r="F13" s="206"/>
      <c r="G13" s="85"/>
      <c r="H13" s="84"/>
      <c r="I13" s="84">
        <f t="shared" si="0"/>
        <v>0</v>
      </c>
      <c r="J13" s="84">
        <f t="shared" si="1"/>
        <v>0</v>
      </c>
      <c r="K13" s="84">
        <f t="shared" si="2"/>
        <v>0</v>
      </c>
      <c r="L13" s="84">
        <f t="shared" si="3"/>
        <v>0</v>
      </c>
    </row>
    <row r="14" spans="1:12" ht="16.5" thickBot="1">
      <c r="A14" s="176">
        <f t="shared" si="4"/>
        <v>6</v>
      </c>
      <c r="B14" s="157" t="s">
        <v>130</v>
      </c>
      <c r="C14" s="81"/>
      <c r="D14" s="124"/>
      <c r="E14" s="194">
        <f>5*3</f>
        <v>15</v>
      </c>
      <c r="F14" s="170" t="s">
        <v>22</v>
      </c>
      <c r="G14" s="125">
        <v>450000</v>
      </c>
      <c r="H14" s="126">
        <v>75000</v>
      </c>
      <c r="I14" s="126">
        <f t="shared" si="0"/>
        <v>525000</v>
      </c>
      <c r="J14" s="126">
        <f t="shared" si="1"/>
        <v>6750000</v>
      </c>
      <c r="K14" s="126">
        <f t="shared" si="2"/>
        <v>1125000</v>
      </c>
      <c r="L14" s="126">
        <f t="shared" si="3"/>
        <v>7875000</v>
      </c>
    </row>
    <row r="15" spans="1:12" ht="16.5">
      <c r="A15" s="83"/>
      <c r="B15" s="86"/>
      <c r="C15" s="81"/>
      <c r="D15" s="87"/>
      <c r="E15" s="140"/>
      <c r="F15" s="141"/>
      <c r="G15" s="88"/>
      <c r="H15" s="88"/>
      <c r="I15" s="89"/>
      <c r="J15" s="89"/>
      <c r="K15" s="89"/>
      <c r="L15" s="89">
        <f>SUM(L9:L14)</f>
        <v>26135100</v>
      </c>
    </row>
    <row r="16" spans="1:12">
      <c r="A16" s="83"/>
      <c r="B16" s="86"/>
      <c r="C16" s="81"/>
      <c r="D16" s="87"/>
      <c r="E16" s="82"/>
      <c r="F16" s="83"/>
      <c r="G16" s="84"/>
      <c r="H16" s="84"/>
      <c r="I16" s="84"/>
      <c r="J16" s="84"/>
      <c r="K16" s="84"/>
      <c r="L16" s="84"/>
    </row>
    <row r="17" spans="1:12" ht="16.5">
      <c r="A17" s="155" t="s">
        <v>4</v>
      </c>
      <c r="B17" s="156" t="s">
        <v>5</v>
      </c>
      <c r="C17" s="81"/>
      <c r="D17" s="87"/>
      <c r="E17" s="82"/>
      <c r="F17" s="83"/>
      <c r="G17" s="85"/>
      <c r="H17" s="84"/>
      <c r="I17" s="84"/>
      <c r="J17" s="84"/>
      <c r="K17" s="84"/>
      <c r="L17" s="84"/>
    </row>
    <row r="18" spans="1:12">
      <c r="A18" s="176">
        <v>1</v>
      </c>
      <c r="B18" s="157" t="s">
        <v>26</v>
      </c>
      <c r="C18" s="81"/>
      <c r="D18" s="87"/>
      <c r="E18" s="200">
        <f>115*0.8*1.2</f>
        <v>110.39999999999999</v>
      </c>
      <c r="F18" s="158" t="s">
        <v>23</v>
      </c>
      <c r="G18" s="85"/>
      <c r="H18" s="84">
        <v>100000</v>
      </c>
      <c r="I18" s="84">
        <f t="shared" si="0"/>
        <v>100000</v>
      </c>
      <c r="J18" s="84">
        <f t="shared" ref="J18:J19" si="5">E18*G18</f>
        <v>0</v>
      </c>
      <c r="K18" s="84">
        <f t="shared" ref="K18:K19" si="6">E18*H18</f>
        <v>11040000</v>
      </c>
      <c r="L18" s="84">
        <f t="shared" ref="L18:L19" si="7">K18+J18</f>
        <v>11040000</v>
      </c>
    </row>
    <row r="19" spans="1:12">
      <c r="A19" s="176">
        <f>A18+1</f>
        <v>2</v>
      </c>
      <c r="B19" s="157" t="s">
        <v>176</v>
      </c>
      <c r="C19" s="81"/>
      <c r="D19" s="87"/>
      <c r="E19" s="191">
        <f>(1.3*1.3*2)*7</f>
        <v>23.660000000000004</v>
      </c>
      <c r="F19" s="158" t="s">
        <v>23</v>
      </c>
      <c r="G19" s="85"/>
      <c r="H19" s="84">
        <v>100000</v>
      </c>
      <c r="I19" s="84">
        <f t="shared" si="0"/>
        <v>100000</v>
      </c>
      <c r="J19" s="84">
        <f t="shared" si="5"/>
        <v>0</v>
      </c>
      <c r="K19" s="84">
        <f t="shared" si="6"/>
        <v>2366000.0000000005</v>
      </c>
      <c r="L19" s="84">
        <f t="shared" si="7"/>
        <v>2366000.0000000005</v>
      </c>
    </row>
    <row r="20" spans="1:12">
      <c r="A20" s="176">
        <f>A19+1</f>
        <v>3</v>
      </c>
      <c r="B20" s="157" t="s">
        <v>177</v>
      </c>
      <c r="C20" s="81"/>
      <c r="D20" s="87"/>
      <c r="E20" s="191">
        <f>(1.3*1.3*2)*13</f>
        <v>43.940000000000005</v>
      </c>
      <c r="F20" s="158" t="s">
        <v>23</v>
      </c>
      <c r="G20" s="85"/>
      <c r="H20" s="84">
        <v>100000</v>
      </c>
      <c r="I20" s="84">
        <f t="shared" ref="I20" si="8">H20+G20</f>
        <v>100000</v>
      </c>
      <c r="J20" s="84">
        <f t="shared" ref="J20" si="9">E20*G20</f>
        <v>0</v>
      </c>
      <c r="K20" s="84">
        <f t="shared" ref="K20" si="10">E20*H20</f>
        <v>4394000.0000000009</v>
      </c>
      <c r="L20" s="84">
        <f t="shared" ref="L20" si="11">K20+J20</f>
        <v>4394000.0000000009</v>
      </c>
    </row>
    <row r="21" spans="1:12">
      <c r="A21" s="176">
        <f>A20+1</f>
        <v>4</v>
      </c>
      <c r="B21" s="157" t="s">
        <v>6</v>
      </c>
      <c r="C21" s="81"/>
      <c r="D21" s="87"/>
      <c r="E21" s="200">
        <f>((115)*0.8*0.05)*1</f>
        <v>4.6000000000000005</v>
      </c>
      <c r="F21" s="158" t="s">
        <v>23</v>
      </c>
      <c r="G21" s="85">
        <v>220000</v>
      </c>
      <c r="H21" s="84">
        <v>25000</v>
      </c>
      <c r="I21" s="84">
        <f t="shared" si="0"/>
        <v>245000</v>
      </c>
      <c r="J21" s="84">
        <f t="shared" ref="J21:J88" si="12">E21*G21</f>
        <v>1012000.0000000001</v>
      </c>
      <c r="K21" s="84">
        <f t="shared" ref="K21:K88" si="13">E21*H21</f>
        <v>115000.00000000001</v>
      </c>
      <c r="L21" s="84">
        <f t="shared" ref="L21:L88" si="14">K21+J21</f>
        <v>1127000.0000000002</v>
      </c>
    </row>
    <row r="22" spans="1:12">
      <c r="A22" s="176">
        <f t="shared" ref="A22" si="15">A21+1</f>
        <v>5</v>
      </c>
      <c r="B22" s="157" t="s">
        <v>7</v>
      </c>
      <c r="C22" s="81"/>
      <c r="D22" s="87"/>
      <c r="E22" s="191">
        <f>116*0.05</f>
        <v>5.8000000000000007</v>
      </c>
      <c r="F22" s="158" t="s">
        <v>23</v>
      </c>
      <c r="G22" s="85">
        <v>220000</v>
      </c>
      <c r="H22" s="84">
        <v>25000</v>
      </c>
      <c r="I22" s="84">
        <f t="shared" si="0"/>
        <v>245000</v>
      </c>
      <c r="J22" s="84">
        <f t="shared" si="12"/>
        <v>1276000.0000000002</v>
      </c>
      <c r="K22" s="84">
        <f t="shared" si="13"/>
        <v>145000.00000000003</v>
      </c>
      <c r="L22" s="84">
        <f t="shared" si="14"/>
        <v>1421000.0000000002</v>
      </c>
    </row>
    <row r="23" spans="1:12">
      <c r="A23" s="176">
        <f t="shared" ref="A23:A26" si="16">A22+1</f>
        <v>6</v>
      </c>
      <c r="B23" s="157" t="s">
        <v>84</v>
      </c>
      <c r="C23" s="81"/>
      <c r="D23" s="87"/>
      <c r="E23" s="191">
        <f>116*0.5</f>
        <v>58</v>
      </c>
      <c r="F23" s="158" t="s">
        <v>23</v>
      </c>
      <c r="G23" s="85">
        <v>200000</v>
      </c>
      <c r="H23" s="84">
        <v>25000</v>
      </c>
      <c r="I23" s="84">
        <f t="shared" si="0"/>
        <v>225000</v>
      </c>
      <c r="J23" s="84">
        <f t="shared" si="12"/>
        <v>11600000</v>
      </c>
      <c r="K23" s="84">
        <f t="shared" si="13"/>
        <v>1450000</v>
      </c>
      <c r="L23" s="84">
        <f t="shared" si="14"/>
        <v>13050000</v>
      </c>
    </row>
    <row r="24" spans="1:12">
      <c r="A24" s="176">
        <f t="shared" si="16"/>
        <v>7</v>
      </c>
      <c r="B24" s="157" t="s">
        <v>66</v>
      </c>
      <c r="C24" s="81"/>
      <c r="D24" s="87"/>
      <c r="E24" s="200">
        <f>(115*0.8*0.2)</f>
        <v>18.400000000000002</v>
      </c>
      <c r="F24" s="158" t="s">
        <v>23</v>
      </c>
      <c r="G24" s="85">
        <v>325000</v>
      </c>
      <c r="H24" s="84">
        <v>35000</v>
      </c>
      <c r="I24" s="84">
        <f t="shared" si="0"/>
        <v>360000</v>
      </c>
      <c r="J24" s="84">
        <f t="shared" si="12"/>
        <v>5980000.0000000009</v>
      </c>
      <c r="K24" s="84">
        <f t="shared" si="13"/>
        <v>644000.00000000012</v>
      </c>
      <c r="L24" s="84">
        <f t="shared" si="14"/>
        <v>6624000.0000000009</v>
      </c>
    </row>
    <row r="25" spans="1:12">
      <c r="A25" s="176">
        <f t="shared" si="16"/>
        <v>8</v>
      </c>
      <c r="B25" s="157" t="s">
        <v>67</v>
      </c>
      <c r="C25" s="81"/>
      <c r="D25" s="87"/>
      <c r="E25" s="200">
        <f>((115)*((0.8+0.3)/2))*1.2</f>
        <v>75.900000000000006</v>
      </c>
      <c r="F25" s="158" t="s">
        <v>23</v>
      </c>
      <c r="G25" s="85">
        <v>435000</v>
      </c>
      <c r="H25" s="84">
        <v>155000</v>
      </c>
      <c r="I25" s="84">
        <f t="shared" si="0"/>
        <v>590000</v>
      </c>
      <c r="J25" s="84">
        <f t="shared" si="12"/>
        <v>33016500.000000004</v>
      </c>
      <c r="K25" s="84">
        <f t="shared" si="13"/>
        <v>11764500</v>
      </c>
      <c r="L25" s="84">
        <f t="shared" si="14"/>
        <v>44781000</v>
      </c>
    </row>
    <row r="26" spans="1:12">
      <c r="A26" s="176">
        <f t="shared" si="16"/>
        <v>9</v>
      </c>
      <c r="B26" s="177" t="s">
        <v>86</v>
      </c>
      <c r="C26" s="81"/>
      <c r="D26" s="87"/>
      <c r="E26" s="200">
        <f>(E18+E19+E20)*25%</f>
        <v>44.5</v>
      </c>
      <c r="F26" s="158" t="s">
        <v>23</v>
      </c>
      <c r="G26" s="85"/>
      <c r="H26" s="84">
        <v>25000</v>
      </c>
      <c r="I26" s="84">
        <f t="shared" si="0"/>
        <v>25000</v>
      </c>
      <c r="J26" s="84">
        <f t="shared" si="12"/>
        <v>0</v>
      </c>
      <c r="K26" s="84">
        <f t="shared" si="13"/>
        <v>1112500</v>
      </c>
      <c r="L26" s="84">
        <f t="shared" si="14"/>
        <v>1112500</v>
      </c>
    </row>
    <row r="27" spans="1:12" ht="16.5" thickBot="1">
      <c r="A27" s="176">
        <f t="shared" ref="A27" si="17">A26+1</f>
        <v>10</v>
      </c>
      <c r="B27" s="178" t="s">
        <v>85</v>
      </c>
      <c r="C27" s="81"/>
      <c r="D27" s="87"/>
      <c r="E27" s="201">
        <f>116</f>
        <v>116</v>
      </c>
      <c r="F27" s="170" t="s">
        <v>22</v>
      </c>
      <c r="G27" s="125"/>
      <c r="H27" s="126">
        <v>22500</v>
      </c>
      <c r="I27" s="126">
        <f t="shared" si="0"/>
        <v>22500</v>
      </c>
      <c r="J27" s="126">
        <f t="shared" si="12"/>
        <v>0</v>
      </c>
      <c r="K27" s="126">
        <f t="shared" si="13"/>
        <v>2610000</v>
      </c>
      <c r="L27" s="126">
        <f t="shared" si="14"/>
        <v>2610000</v>
      </c>
    </row>
    <row r="28" spans="1:12" ht="16.5">
      <c r="A28" s="86"/>
      <c r="B28" s="86"/>
      <c r="C28" s="81"/>
      <c r="D28" s="87"/>
      <c r="E28" s="140"/>
      <c r="F28" s="141"/>
      <c r="G28" s="90"/>
      <c r="H28" s="88"/>
      <c r="I28" s="89"/>
      <c r="J28" s="89"/>
      <c r="K28" s="89"/>
      <c r="L28" s="89">
        <f>SUM(L18:L27)</f>
        <v>88525500</v>
      </c>
    </row>
    <row r="29" spans="1:12">
      <c r="A29" s="86"/>
      <c r="B29" s="86"/>
      <c r="C29" s="81"/>
      <c r="D29" s="87"/>
      <c r="E29" s="82"/>
      <c r="F29" s="83"/>
      <c r="G29" s="85"/>
      <c r="H29" s="84"/>
      <c r="I29" s="84"/>
      <c r="J29" s="84"/>
      <c r="K29" s="84"/>
      <c r="L29" s="84"/>
    </row>
    <row r="30" spans="1:12" ht="16.5">
      <c r="A30" s="155" t="s">
        <v>8</v>
      </c>
      <c r="B30" s="156" t="s">
        <v>9</v>
      </c>
      <c r="C30" s="81"/>
      <c r="D30" s="87"/>
      <c r="E30" s="82"/>
      <c r="F30" s="83"/>
      <c r="G30" s="85"/>
      <c r="H30" s="84"/>
      <c r="I30" s="84"/>
      <c r="J30" s="84"/>
      <c r="K30" s="84"/>
      <c r="L30" s="84"/>
    </row>
    <row r="31" spans="1:12">
      <c r="A31" s="176">
        <v>1</v>
      </c>
      <c r="B31" s="157" t="s">
        <v>178</v>
      </c>
      <c r="C31" s="81"/>
      <c r="D31" s="87"/>
      <c r="E31" s="191">
        <f>(1.2*1.2*0.25)*11</f>
        <v>3.96</v>
      </c>
      <c r="F31" s="158" t="s">
        <v>23</v>
      </c>
      <c r="G31" s="85">
        <v>3650000</v>
      </c>
      <c r="H31" s="84">
        <v>550000</v>
      </c>
      <c r="I31" s="84">
        <f t="shared" si="0"/>
        <v>4200000</v>
      </c>
      <c r="J31" s="84">
        <f t="shared" si="12"/>
        <v>14454000</v>
      </c>
      <c r="K31" s="84">
        <f t="shared" si="13"/>
        <v>2178000</v>
      </c>
      <c r="L31" s="84">
        <f t="shared" si="14"/>
        <v>16632000</v>
      </c>
    </row>
    <row r="32" spans="1:12">
      <c r="A32" s="176">
        <f>A31+1</f>
        <v>2</v>
      </c>
      <c r="B32" s="157" t="s">
        <v>179</v>
      </c>
      <c r="C32" s="81"/>
      <c r="D32" s="87"/>
      <c r="E32" s="191">
        <f>(1.2*1.2*0.25)*9</f>
        <v>3.2399999999999998</v>
      </c>
      <c r="F32" s="158" t="s">
        <v>23</v>
      </c>
      <c r="G32" s="85">
        <v>3650000</v>
      </c>
      <c r="H32" s="84">
        <v>550000</v>
      </c>
      <c r="I32" s="84">
        <f t="shared" ref="I32" si="18">H32+G32</f>
        <v>4200000</v>
      </c>
      <c r="J32" s="84">
        <f t="shared" ref="J32" si="19">E32*G32</f>
        <v>11826000</v>
      </c>
      <c r="K32" s="84">
        <f t="shared" ref="K32" si="20">E32*H32</f>
        <v>1781999.9999999998</v>
      </c>
      <c r="L32" s="84">
        <f t="shared" ref="L32" si="21">K32+J32</f>
        <v>13608000</v>
      </c>
    </row>
    <row r="33" spans="1:12">
      <c r="A33" s="176">
        <f>A32+1</f>
        <v>3</v>
      </c>
      <c r="B33" s="157" t="s">
        <v>180</v>
      </c>
      <c r="C33" s="81"/>
      <c r="D33" s="87"/>
      <c r="E33" s="191">
        <f>(0.25*0.5*2)*6</f>
        <v>1.5</v>
      </c>
      <c r="F33" s="158" t="s">
        <v>23</v>
      </c>
      <c r="G33" s="85">
        <v>3750000</v>
      </c>
      <c r="H33" s="84">
        <v>650000</v>
      </c>
      <c r="I33" s="84">
        <f t="shared" si="0"/>
        <v>4400000</v>
      </c>
      <c r="J33" s="84">
        <f t="shared" si="12"/>
        <v>5625000</v>
      </c>
      <c r="K33" s="84">
        <f t="shared" si="13"/>
        <v>975000</v>
      </c>
      <c r="L33" s="84">
        <f t="shared" si="14"/>
        <v>6600000</v>
      </c>
    </row>
    <row r="34" spans="1:12">
      <c r="A34" s="176">
        <f t="shared" ref="A34:A47" si="22">A33+1</f>
        <v>4</v>
      </c>
      <c r="B34" s="157" t="s">
        <v>156</v>
      </c>
      <c r="C34" s="81"/>
      <c r="D34" s="87"/>
      <c r="E34" s="191">
        <f>(0.15*0.5*2)*3</f>
        <v>0.44999999999999996</v>
      </c>
      <c r="F34" s="158" t="s">
        <v>23</v>
      </c>
      <c r="G34" s="85">
        <v>3750000</v>
      </c>
      <c r="H34" s="84">
        <v>650000</v>
      </c>
      <c r="I34" s="84">
        <f t="shared" ref="I34:I35" si="23">H34+G34</f>
        <v>4400000</v>
      </c>
      <c r="J34" s="84">
        <f t="shared" ref="J34:J35" si="24">E34*G34</f>
        <v>1687499.9999999998</v>
      </c>
      <c r="K34" s="84">
        <f t="shared" ref="K34:K35" si="25">E34*H34</f>
        <v>292500</v>
      </c>
      <c r="L34" s="84">
        <f t="shared" ref="L34:L35" si="26">K34+J34</f>
        <v>1979999.9999999998</v>
      </c>
    </row>
    <row r="35" spans="1:12">
      <c r="A35" s="176">
        <f>A34+1</f>
        <v>5</v>
      </c>
      <c r="B35" s="157" t="s">
        <v>181</v>
      </c>
      <c r="C35" s="81"/>
      <c r="D35" s="87"/>
      <c r="E35" s="191">
        <f>(0.15*0.45*2)*6</f>
        <v>0.81</v>
      </c>
      <c r="F35" s="158" t="s">
        <v>23</v>
      </c>
      <c r="G35" s="85">
        <v>3750000</v>
      </c>
      <c r="H35" s="84">
        <v>650000</v>
      </c>
      <c r="I35" s="84">
        <f t="shared" si="23"/>
        <v>4400000</v>
      </c>
      <c r="J35" s="84">
        <f t="shared" si="24"/>
        <v>3037500</v>
      </c>
      <c r="K35" s="84">
        <f t="shared" si="25"/>
        <v>526500</v>
      </c>
      <c r="L35" s="84">
        <f t="shared" si="26"/>
        <v>3564000</v>
      </c>
    </row>
    <row r="36" spans="1:12">
      <c r="A36" s="176">
        <f t="shared" si="22"/>
        <v>6</v>
      </c>
      <c r="B36" s="157" t="s">
        <v>155</v>
      </c>
      <c r="C36" s="81"/>
      <c r="D36" s="87"/>
      <c r="E36" s="191">
        <f>(0.3*0.3*2)*2</f>
        <v>0.36</v>
      </c>
      <c r="F36" s="158" t="s">
        <v>23</v>
      </c>
      <c r="G36" s="85">
        <v>3750000</v>
      </c>
      <c r="H36" s="84">
        <v>650000</v>
      </c>
      <c r="I36" s="84">
        <f t="shared" ref="I36" si="27">H36+G36</f>
        <v>4400000</v>
      </c>
      <c r="J36" s="84">
        <f t="shared" ref="J36" si="28">E36*G36</f>
        <v>1350000</v>
      </c>
      <c r="K36" s="84">
        <f t="shared" ref="K36" si="29">E36*H36</f>
        <v>234000</v>
      </c>
      <c r="L36" s="84">
        <f t="shared" ref="L36" si="30">K36+J36</f>
        <v>1584000</v>
      </c>
    </row>
    <row r="37" spans="1:12">
      <c r="A37" s="176">
        <f t="shared" si="22"/>
        <v>7</v>
      </c>
      <c r="B37" s="157" t="s">
        <v>182</v>
      </c>
      <c r="C37" s="81"/>
      <c r="D37" s="87"/>
      <c r="E37" s="191">
        <f>(0.15*0.35*2)*3</f>
        <v>0.315</v>
      </c>
      <c r="F37" s="158" t="s">
        <v>23</v>
      </c>
      <c r="G37" s="85">
        <v>3750000</v>
      </c>
      <c r="H37" s="84">
        <v>650000</v>
      </c>
      <c r="I37" s="84">
        <f t="shared" ref="I37" si="31">H37+G37</f>
        <v>4400000</v>
      </c>
      <c r="J37" s="84">
        <f t="shared" ref="J37" si="32">E37*G37</f>
        <v>1181250</v>
      </c>
      <c r="K37" s="84">
        <f t="shared" ref="K37" si="33">E37*H37</f>
        <v>204750</v>
      </c>
      <c r="L37" s="84">
        <f t="shared" ref="L37" si="34">K37+J37</f>
        <v>1386000</v>
      </c>
    </row>
    <row r="38" spans="1:12">
      <c r="A38" s="176">
        <f t="shared" si="22"/>
        <v>8</v>
      </c>
      <c r="B38" s="157" t="s">
        <v>120</v>
      </c>
      <c r="C38" s="81"/>
      <c r="D38" s="87"/>
      <c r="E38" s="191">
        <f>(1.3*1.3*0.05)*20</f>
        <v>1.6900000000000004</v>
      </c>
      <c r="F38" s="158" t="s">
        <v>23</v>
      </c>
      <c r="G38" s="85">
        <v>850000</v>
      </c>
      <c r="H38" s="84">
        <v>150000</v>
      </c>
      <c r="I38" s="84">
        <f t="shared" ref="I38" si="35">H38+G38</f>
        <v>1000000</v>
      </c>
      <c r="J38" s="84">
        <f t="shared" ref="J38" si="36">E38*G38</f>
        <v>1436500.0000000002</v>
      </c>
      <c r="K38" s="84">
        <f t="shared" ref="K38" si="37">E38*H38</f>
        <v>253500.00000000006</v>
      </c>
      <c r="L38" s="84">
        <f t="shared" ref="L38" si="38">K38+J38</f>
        <v>1690000.0000000002</v>
      </c>
    </row>
    <row r="39" spans="1:12">
      <c r="A39" s="176">
        <f t="shared" si="22"/>
        <v>9</v>
      </c>
      <c r="B39" s="157" t="s">
        <v>88</v>
      </c>
      <c r="C39" s="81"/>
      <c r="D39" s="87"/>
      <c r="E39" s="191">
        <f>116*0.06</f>
        <v>6.96</v>
      </c>
      <c r="F39" s="158" t="s">
        <v>23</v>
      </c>
      <c r="G39" s="85">
        <v>1250000</v>
      </c>
      <c r="H39" s="84">
        <v>350000</v>
      </c>
      <c r="I39" s="84">
        <f t="shared" ref="I39" si="39">H39+G39</f>
        <v>1600000</v>
      </c>
      <c r="J39" s="84">
        <f t="shared" ref="J39" si="40">E39*G39</f>
        <v>8700000</v>
      </c>
      <c r="K39" s="84">
        <f t="shared" ref="K39" si="41">E39*H39</f>
        <v>2436000</v>
      </c>
      <c r="L39" s="84">
        <f t="shared" ref="L39" si="42">K39+J39</f>
        <v>11136000</v>
      </c>
    </row>
    <row r="40" spans="1:12">
      <c r="A40" s="176">
        <f t="shared" si="22"/>
        <v>10</v>
      </c>
      <c r="B40" s="157" t="s">
        <v>183</v>
      </c>
      <c r="C40" s="81"/>
      <c r="D40" s="87"/>
      <c r="E40" s="200">
        <f>115*0.15*0.35</f>
        <v>6.0374999999999996</v>
      </c>
      <c r="F40" s="158" t="s">
        <v>23</v>
      </c>
      <c r="G40" s="85">
        <v>3250000</v>
      </c>
      <c r="H40" s="84">
        <v>450000</v>
      </c>
      <c r="I40" s="84">
        <f t="shared" si="0"/>
        <v>3700000</v>
      </c>
      <c r="J40" s="84">
        <f t="shared" si="12"/>
        <v>19621875</v>
      </c>
      <c r="K40" s="84">
        <f t="shared" si="13"/>
        <v>2716875</v>
      </c>
      <c r="L40" s="84">
        <f t="shared" si="14"/>
        <v>22338750</v>
      </c>
    </row>
    <row r="41" spans="1:12">
      <c r="A41" s="176">
        <f t="shared" si="22"/>
        <v>11</v>
      </c>
      <c r="B41" s="157" t="s">
        <v>184</v>
      </c>
      <c r="C41" s="81"/>
      <c r="D41" s="87"/>
      <c r="E41" s="191">
        <f>(0.25*0.5*4)*6</f>
        <v>3</v>
      </c>
      <c r="F41" s="158" t="s">
        <v>23</v>
      </c>
      <c r="G41" s="85">
        <v>3750000</v>
      </c>
      <c r="H41" s="84">
        <v>650000</v>
      </c>
      <c r="I41" s="84">
        <f t="shared" ref="I41" si="43">H41+G41</f>
        <v>4400000</v>
      </c>
      <c r="J41" s="84">
        <f t="shared" ref="J41" si="44">E41*G41</f>
        <v>11250000</v>
      </c>
      <c r="K41" s="84">
        <f t="shared" ref="K41" si="45">E41*H41</f>
        <v>1950000</v>
      </c>
      <c r="L41" s="84">
        <f t="shared" ref="L41" si="46">K41+J41</f>
        <v>13200000</v>
      </c>
    </row>
    <row r="42" spans="1:12">
      <c r="A42" s="176">
        <f t="shared" si="22"/>
        <v>12</v>
      </c>
      <c r="B42" s="157" t="s">
        <v>185</v>
      </c>
      <c r="C42" s="81"/>
      <c r="D42" s="87"/>
      <c r="E42" s="191">
        <f>(0.15*0.5*4)*3</f>
        <v>0.89999999999999991</v>
      </c>
      <c r="F42" s="158" t="s">
        <v>23</v>
      </c>
      <c r="G42" s="85">
        <v>3750000</v>
      </c>
      <c r="H42" s="84">
        <v>650000</v>
      </c>
      <c r="I42" s="84">
        <f t="shared" si="0"/>
        <v>4400000</v>
      </c>
      <c r="J42" s="84">
        <f t="shared" si="12"/>
        <v>3374999.9999999995</v>
      </c>
      <c r="K42" s="84">
        <f t="shared" si="13"/>
        <v>585000</v>
      </c>
      <c r="L42" s="84">
        <f t="shared" si="14"/>
        <v>3959999.9999999995</v>
      </c>
    </row>
    <row r="43" spans="1:12">
      <c r="A43" s="176">
        <f t="shared" si="22"/>
        <v>13</v>
      </c>
      <c r="B43" s="157" t="s">
        <v>186</v>
      </c>
      <c r="C43" s="81"/>
      <c r="D43" s="87"/>
      <c r="E43" s="191">
        <f>(0.15*0.45*4)*6</f>
        <v>1.62</v>
      </c>
      <c r="F43" s="158" t="s">
        <v>23</v>
      </c>
      <c r="G43" s="85">
        <v>3750000</v>
      </c>
      <c r="H43" s="84">
        <v>650000</v>
      </c>
      <c r="I43" s="84">
        <f t="shared" ref="I43" si="47">H43+G43</f>
        <v>4400000</v>
      </c>
      <c r="J43" s="84">
        <f t="shared" ref="J43" si="48">E43*G43</f>
        <v>6075000</v>
      </c>
      <c r="K43" s="84">
        <f t="shared" ref="K43" si="49">E43*H43</f>
        <v>1053000</v>
      </c>
      <c r="L43" s="84">
        <f t="shared" ref="L43" si="50">K43+J43</f>
        <v>7128000</v>
      </c>
    </row>
    <row r="44" spans="1:12">
      <c r="A44" s="176">
        <f t="shared" si="22"/>
        <v>14</v>
      </c>
      <c r="B44" s="157" t="s">
        <v>187</v>
      </c>
      <c r="C44" s="81"/>
      <c r="D44" s="87"/>
      <c r="E44" s="191">
        <f>(0.3*0.3*4)*2</f>
        <v>0.72</v>
      </c>
      <c r="F44" s="158" t="s">
        <v>23</v>
      </c>
      <c r="G44" s="85">
        <v>3750000</v>
      </c>
      <c r="H44" s="84">
        <v>650000</v>
      </c>
      <c r="I44" s="84">
        <f t="shared" ref="I44:I45" si="51">H44+G44</f>
        <v>4400000</v>
      </c>
      <c r="J44" s="84">
        <f t="shared" ref="J44:J45" si="52">E44*G44</f>
        <v>2700000</v>
      </c>
      <c r="K44" s="84">
        <f t="shared" ref="K44:K45" si="53">E44*H44</f>
        <v>468000</v>
      </c>
      <c r="L44" s="84">
        <f t="shared" ref="L44:L45" si="54">K44+J44</f>
        <v>3168000</v>
      </c>
    </row>
    <row r="45" spans="1:12">
      <c r="A45" s="176">
        <f t="shared" si="22"/>
        <v>15</v>
      </c>
      <c r="B45" s="157" t="s">
        <v>188</v>
      </c>
      <c r="C45" s="81"/>
      <c r="D45" s="87"/>
      <c r="E45" s="191">
        <f>(0.15*0.35*4)*3</f>
        <v>0.63</v>
      </c>
      <c r="F45" s="158" t="s">
        <v>23</v>
      </c>
      <c r="G45" s="85">
        <v>3750000</v>
      </c>
      <c r="H45" s="84">
        <v>650000</v>
      </c>
      <c r="I45" s="84">
        <f t="shared" si="51"/>
        <v>4400000</v>
      </c>
      <c r="J45" s="84">
        <f t="shared" si="52"/>
        <v>2362500</v>
      </c>
      <c r="K45" s="84">
        <f t="shared" si="53"/>
        <v>409500</v>
      </c>
      <c r="L45" s="84">
        <f t="shared" si="54"/>
        <v>2772000</v>
      </c>
    </row>
    <row r="46" spans="1:12">
      <c r="A46" s="176">
        <f t="shared" si="22"/>
        <v>16</v>
      </c>
      <c r="B46" s="157" t="s">
        <v>159</v>
      </c>
      <c r="C46" s="81"/>
      <c r="D46" s="87"/>
      <c r="E46" s="191">
        <f>4*10</f>
        <v>40</v>
      </c>
      <c r="F46" s="158" t="s">
        <v>21</v>
      </c>
      <c r="G46" s="85">
        <v>85000</v>
      </c>
      <c r="H46" s="84">
        <v>25000</v>
      </c>
      <c r="I46" s="84">
        <f t="shared" ref="I46" si="55">H46+G46</f>
        <v>110000</v>
      </c>
      <c r="J46" s="84">
        <f t="shared" ref="J46" si="56">E46*G46</f>
        <v>3400000</v>
      </c>
      <c r="K46" s="84">
        <f t="shared" ref="K46" si="57">E46*H46</f>
        <v>1000000</v>
      </c>
      <c r="L46" s="84">
        <f t="shared" ref="L46" si="58">K46+J46</f>
        <v>4400000</v>
      </c>
    </row>
    <row r="47" spans="1:12">
      <c r="A47" s="176">
        <f t="shared" si="22"/>
        <v>17</v>
      </c>
      <c r="B47" s="157" t="s">
        <v>160</v>
      </c>
      <c r="C47" s="81"/>
      <c r="D47" s="87"/>
      <c r="E47" s="191">
        <f>10*2.25</f>
        <v>22.5</v>
      </c>
      <c r="F47" s="158" t="s">
        <v>21</v>
      </c>
      <c r="G47" s="85">
        <v>85000</v>
      </c>
      <c r="H47" s="84">
        <v>25000</v>
      </c>
      <c r="I47" s="84">
        <f t="shared" ref="I47" si="59">H47+G47</f>
        <v>110000</v>
      </c>
      <c r="J47" s="84">
        <f t="shared" ref="J47" si="60">E47*G47</f>
        <v>1912500</v>
      </c>
      <c r="K47" s="84">
        <f t="shared" ref="K47" si="61">E47*H47</f>
        <v>562500</v>
      </c>
      <c r="L47" s="84">
        <f t="shared" ref="L47" si="62">K47+J47</f>
        <v>2475000</v>
      </c>
    </row>
    <row r="48" spans="1:12">
      <c r="A48" s="176">
        <f t="shared" ref="A48:A49" si="63">A47+1</f>
        <v>18</v>
      </c>
      <c r="B48" s="157" t="s">
        <v>127</v>
      </c>
      <c r="C48" s="81"/>
      <c r="D48" s="87"/>
      <c r="E48" s="191">
        <f>3</f>
        <v>3</v>
      </c>
      <c r="F48" s="158" t="s">
        <v>21</v>
      </c>
      <c r="G48" s="85">
        <v>225000</v>
      </c>
      <c r="H48" s="84">
        <v>125000</v>
      </c>
      <c r="I48" s="84">
        <f t="shared" si="0"/>
        <v>350000</v>
      </c>
      <c r="J48" s="84">
        <f t="shared" si="12"/>
        <v>675000</v>
      </c>
      <c r="K48" s="84">
        <f t="shared" si="13"/>
        <v>375000</v>
      </c>
      <c r="L48" s="84">
        <f t="shared" si="14"/>
        <v>1050000</v>
      </c>
    </row>
    <row r="49" spans="1:12" ht="16.5" thickBot="1">
      <c r="A49" s="176">
        <f t="shared" si="63"/>
        <v>19</v>
      </c>
      <c r="B49" s="157" t="s">
        <v>31</v>
      </c>
      <c r="C49" s="81"/>
      <c r="D49" s="87"/>
      <c r="E49" s="194">
        <f>(((0.1*9*1.15)+(0.18*1.15*18)))*1</f>
        <v>4.7610000000000001</v>
      </c>
      <c r="F49" s="170" t="s">
        <v>23</v>
      </c>
      <c r="G49" s="125">
        <v>3350000</v>
      </c>
      <c r="H49" s="126">
        <v>650000</v>
      </c>
      <c r="I49" s="126">
        <f t="shared" si="0"/>
        <v>4000000</v>
      </c>
      <c r="J49" s="126">
        <f t="shared" si="12"/>
        <v>15949350</v>
      </c>
      <c r="K49" s="126">
        <f t="shared" si="13"/>
        <v>3094650</v>
      </c>
      <c r="L49" s="126">
        <f t="shared" si="14"/>
        <v>19044000</v>
      </c>
    </row>
    <row r="50" spans="1:12" ht="16.5">
      <c r="A50" s="86"/>
      <c r="B50" s="86"/>
      <c r="C50" s="81"/>
      <c r="D50" s="87"/>
      <c r="E50" s="140"/>
      <c r="F50" s="141"/>
      <c r="G50" s="90"/>
      <c r="H50" s="88"/>
      <c r="I50" s="89"/>
      <c r="J50" s="89"/>
      <c r="K50" s="89"/>
      <c r="L50" s="89">
        <f>SUM(L31:L49)</f>
        <v>137715750</v>
      </c>
    </row>
    <row r="51" spans="1:12">
      <c r="A51" s="86"/>
      <c r="B51" s="86"/>
      <c r="C51" s="81"/>
      <c r="D51" s="87"/>
      <c r="E51" s="82"/>
      <c r="F51" s="83"/>
      <c r="G51" s="85"/>
      <c r="H51" s="84"/>
      <c r="I51" s="84"/>
      <c r="J51" s="84"/>
      <c r="K51" s="84"/>
      <c r="L51" s="84"/>
    </row>
    <row r="52" spans="1:12" ht="16.5">
      <c r="A52" s="155" t="s">
        <v>10</v>
      </c>
      <c r="B52" s="156" t="s">
        <v>89</v>
      </c>
      <c r="C52" s="81"/>
      <c r="D52" s="87"/>
      <c r="E52" s="82"/>
      <c r="F52" s="83"/>
      <c r="G52" s="85"/>
      <c r="H52" s="84"/>
      <c r="I52" s="84"/>
      <c r="J52" s="84"/>
      <c r="K52" s="84"/>
      <c r="L52" s="84"/>
    </row>
    <row r="53" spans="1:12">
      <c r="A53" s="176">
        <v>1</v>
      </c>
      <c r="B53" s="157" t="s">
        <v>134</v>
      </c>
      <c r="C53" s="81"/>
      <c r="D53" s="87"/>
      <c r="E53" s="191">
        <f>(62*3.5)-(10*2.25)</f>
        <v>194.5</v>
      </c>
      <c r="F53" s="158" t="s">
        <v>22</v>
      </c>
      <c r="G53" s="85">
        <f>87500</f>
        <v>87500</v>
      </c>
      <c r="H53" s="84">
        <v>45000</v>
      </c>
      <c r="I53" s="84">
        <f t="shared" si="0"/>
        <v>132500</v>
      </c>
      <c r="J53" s="84">
        <f t="shared" si="12"/>
        <v>17018750</v>
      </c>
      <c r="K53" s="84">
        <f t="shared" si="13"/>
        <v>8752500</v>
      </c>
      <c r="L53" s="84">
        <f t="shared" si="14"/>
        <v>25771250</v>
      </c>
    </row>
    <row r="54" spans="1:12">
      <c r="A54" s="176">
        <f t="shared" ref="A54:A66" si="64">A53+1</f>
        <v>2</v>
      </c>
      <c r="B54" s="157" t="s">
        <v>135</v>
      </c>
      <c r="C54" s="81"/>
      <c r="D54" s="87"/>
      <c r="E54" s="191">
        <f>((62*3.5)-(10*2.25))*1.85</f>
        <v>359.82500000000005</v>
      </c>
      <c r="F54" s="158" t="s">
        <v>22</v>
      </c>
      <c r="G54" s="85">
        <v>27500</v>
      </c>
      <c r="H54" s="84">
        <v>25000</v>
      </c>
      <c r="I54" s="84">
        <f t="shared" si="0"/>
        <v>52500</v>
      </c>
      <c r="J54" s="84">
        <f t="shared" si="12"/>
        <v>9895187.5000000019</v>
      </c>
      <c r="K54" s="84">
        <f t="shared" si="13"/>
        <v>8995625.0000000019</v>
      </c>
      <c r="L54" s="84">
        <f t="shared" si="14"/>
        <v>18890812.500000004</v>
      </c>
    </row>
    <row r="55" spans="1:12">
      <c r="A55" s="176">
        <f t="shared" si="64"/>
        <v>3</v>
      </c>
      <c r="B55" s="157" t="s">
        <v>27</v>
      </c>
      <c r="C55" s="81"/>
      <c r="D55" s="87"/>
      <c r="E55" s="191">
        <f>((62*3.5)-(10*2.25))*1.85</f>
        <v>359.82500000000005</v>
      </c>
      <c r="F55" s="158" t="s">
        <v>22</v>
      </c>
      <c r="G55" s="85">
        <v>17000</v>
      </c>
      <c r="H55" s="84">
        <v>15000</v>
      </c>
      <c r="I55" s="84">
        <f t="shared" si="0"/>
        <v>32000</v>
      </c>
      <c r="J55" s="84">
        <f t="shared" si="12"/>
        <v>6117025.0000000009</v>
      </c>
      <c r="K55" s="84">
        <f t="shared" si="13"/>
        <v>5397375.0000000009</v>
      </c>
      <c r="L55" s="84">
        <f t="shared" si="14"/>
        <v>11514400.000000002</v>
      </c>
    </row>
    <row r="56" spans="1:12">
      <c r="A56" s="176">
        <f t="shared" si="64"/>
        <v>4</v>
      </c>
      <c r="B56" s="157" t="s">
        <v>90</v>
      </c>
      <c r="C56" s="81"/>
      <c r="D56" s="87"/>
      <c r="E56" s="191">
        <f>E55*0.85</f>
        <v>305.85125000000005</v>
      </c>
      <c r="F56" s="158" t="s">
        <v>21</v>
      </c>
      <c r="G56" s="85">
        <v>3000</v>
      </c>
      <c r="H56" s="84">
        <v>6000</v>
      </c>
      <c r="I56" s="84">
        <f t="shared" si="0"/>
        <v>9000</v>
      </c>
      <c r="J56" s="84">
        <f t="shared" si="12"/>
        <v>917553.75000000012</v>
      </c>
      <c r="K56" s="84">
        <f t="shared" si="13"/>
        <v>1835107.5000000002</v>
      </c>
      <c r="L56" s="84">
        <f t="shared" si="14"/>
        <v>2752661.2500000005</v>
      </c>
    </row>
    <row r="57" spans="1:12">
      <c r="A57" s="176">
        <f t="shared" si="64"/>
        <v>5</v>
      </c>
      <c r="B57" s="157" t="s">
        <v>161</v>
      </c>
      <c r="C57" s="81"/>
      <c r="D57" s="87"/>
      <c r="E57" s="191">
        <f>((8*3.1)-((2.4*0.72)*1))</f>
        <v>23.071999999999999</v>
      </c>
      <c r="F57" s="158" t="s">
        <v>22</v>
      </c>
      <c r="G57" s="85">
        <v>215000</v>
      </c>
      <c r="H57" s="84">
        <v>75000</v>
      </c>
      <c r="I57" s="84">
        <f t="shared" ref="I57:I58" si="65">H57+G57</f>
        <v>290000</v>
      </c>
      <c r="J57" s="84">
        <f t="shared" ref="J57:J58" si="66">E57*G57</f>
        <v>4960480</v>
      </c>
      <c r="K57" s="84">
        <f t="shared" ref="K57:K58" si="67">E57*H57</f>
        <v>1730400</v>
      </c>
      <c r="L57" s="84">
        <f t="shared" ref="L57:L58" si="68">K57+J57</f>
        <v>6690880</v>
      </c>
    </row>
    <row r="58" spans="1:12">
      <c r="A58" s="176">
        <f t="shared" si="64"/>
        <v>6</v>
      </c>
      <c r="B58" s="157" t="s">
        <v>162</v>
      </c>
      <c r="C58" s="81"/>
      <c r="D58" s="87"/>
      <c r="E58" s="191">
        <v>5</v>
      </c>
      <c r="F58" s="158" t="s">
        <v>22</v>
      </c>
      <c r="G58" s="85">
        <v>215000</v>
      </c>
      <c r="H58" s="84">
        <v>65000</v>
      </c>
      <c r="I58" s="84">
        <f t="shared" si="65"/>
        <v>280000</v>
      </c>
      <c r="J58" s="84">
        <f t="shared" si="66"/>
        <v>1075000</v>
      </c>
      <c r="K58" s="84">
        <f t="shared" si="67"/>
        <v>325000</v>
      </c>
      <c r="L58" s="84">
        <f t="shared" si="68"/>
        <v>1400000</v>
      </c>
    </row>
    <row r="59" spans="1:12">
      <c r="A59" s="176">
        <f t="shared" si="64"/>
        <v>7</v>
      </c>
      <c r="B59" s="157" t="s">
        <v>136</v>
      </c>
      <c r="C59" s="81"/>
      <c r="D59" s="87"/>
      <c r="E59" s="191">
        <f>3*0.75</f>
        <v>2.25</v>
      </c>
      <c r="F59" s="158" t="s">
        <v>22</v>
      </c>
      <c r="G59" s="85">
        <v>165000</v>
      </c>
      <c r="H59" s="84">
        <v>55000</v>
      </c>
      <c r="I59" s="84">
        <f t="shared" si="0"/>
        <v>220000</v>
      </c>
      <c r="J59" s="84">
        <f t="shared" si="12"/>
        <v>371250</v>
      </c>
      <c r="K59" s="84">
        <f t="shared" si="13"/>
        <v>123750</v>
      </c>
      <c r="L59" s="84">
        <f t="shared" si="14"/>
        <v>495000</v>
      </c>
    </row>
    <row r="60" spans="1:12">
      <c r="A60" s="176">
        <f t="shared" si="64"/>
        <v>8</v>
      </c>
      <c r="B60" s="157" t="s">
        <v>147</v>
      </c>
      <c r="C60" s="81"/>
      <c r="D60" s="87"/>
      <c r="E60" s="191">
        <f>0.6*3</f>
        <v>1.7999999999999998</v>
      </c>
      <c r="F60" s="158" t="s">
        <v>22</v>
      </c>
      <c r="G60" s="85">
        <v>1000000</v>
      </c>
      <c r="H60" s="84">
        <v>250000</v>
      </c>
      <c r="I60" s="84">
        <f t="shared" si="0"/>
        <v>1250000</v>
      </c>
      <c r="J60" s="84">
        <f t="shared" si="12"/>
        <v>1799999.9999999998</v>
      </c>
      <c r="K60" s="84">
        <f t="shared" si="13"/>
        <v>449999.99999999994</v>
      </c>
      <c r="L60" s="84">
        <f t="shared" si="14"/>
        <v>2249999.9999999995</v>
      </c>
    </row>
    <row r="61" spans="1:12">
      <c r="A61" s="176">
        <f t="shared" si="64"/>
        <v>9</v>
      </c>
      <c r="B61" s="157" t="s">
        <v>189</v>
      </c>
      <c r="C61" s="81"/>
      <c r="D61" s="87"/>
      <c r="E61" s="191">
        <f>14</f>
        <v>14</v>
      </c>
      <c r="F61" s="158" t="s">
        <v>22</v>
      </c>
      <c r="G61" s="85">
        <v>215000</v>
      </c>
      <c r="H61" s="84">
        <v>65000</v>
      </c>
      <c r="I61" s="84">
        <f t="shared" si="0"/>
        <v>280000</v>
      </c>
      <c r="J61" s="84">
        <f t="shared" si="12"/>
        <v>3010000</v>
      </c>
      <c r="K61" s="84">
        <f t="shared" si="13"/>
        <v>910000</v>
      </c>
      <c r="L61" s="84">
        <f t="shared" si="14"/>
        <v>3920000</v>
      </c>
    </row>
    <row r="62" spans="1:12">
      <c r="A62" s="176">
        <f t="shared" si="64"/>
        <v>10</v>
      </c>
      <c r="B62" s="179" t="s">
        <v>190</v>
      </c>
      <c r="C62" s="81"/>
      <c r="D62" s="87"/>
      <c r="E62" s="191">
        <f>60</f>
        <v>60</v>
      </c>
      <c r="F62" s="158" t="s">
        <v>22</v>
      </c>
      <c r="G62" s="85">
        <v>215000</v>
      </c>
      <c r="H62" s="84">
        <v>65000</v>
      </c>
      <c r="I62" s="84">
        <f t="shared" si="0"/>
        <v>280000</v>
      </c>
      <c r="J62" s="84">
        <f t="shared" si="12"/>
        <v>12900000</v>
      </c>
      <c r="K62" s="84">
        <f t="shared" si="13"/>
        <v>3900000</v>
      </c>
      <c r="L62" s="84">
        <f t="shared" si="14"/>
        <v>16800000</v>
      </c>
    </row>
    <row r="63" spans="1:12">
      <c r="A63" s="176">
        <f t="shared" si="64"/>
        <v>11</v>
      </c>
      <c r="B63" s="157" t="s">
        <v>191</v>
      </c>
      <c r="C63" s="81"/>
      <c r="D63" s="87"/>
      <c r="E63" s="191">
        <f>17</f>
        <v>17</v>
      </c>
      <c r="F63" s="158" t="s">
        <v>22</v>
      </c>
      <c r="G63" s="85">
        <v>215000</v>
      </c>
      <c r="H63" s="84">
        <v>65000</v>
      </c>
      <c r="I63" s="127">
        <f t="shared" ref="I63" si="69">H63+G63</f>
        <v>280000</v>
      </c>
      <c r="J63" s="127">
        <f t="shared" ref="J63" si="70">E63*G63</f>
        <v>3655000</v>
      </c>
      <c r="K63" s="127">
        <f t="shared" ref="K63" si="71">E63*H63</f>
        <v>1105000</v>
      </c>
      <c r="L63" s="127">
        <f t="shared" ref="L63" si="72">K63+J63</f>
        <v>4760000</v>
      </c>
    </row>
    <row r="64" spans="1:12">
      <c r="A64" s="176">
        <f t="shared" si="64"/>
        <v>12</v>
      </c>
      <c r="B64" s="157" t="s">
        <v>192</v>
      </c>
      <c r="C64" s="185"/>
      <c r="D64" s="190"/>
      <c r="E64" s="191">
        <v>5</v>
      </c>
      <c r="F64" s="158" t="s">
        <v>22</v>
      </c>
      <c r="G64" s="189">
        <v>635000</v>
      </c>
      <c r="H64" s="186">
        <v>175000</v>
      </c>
      <c r="I64" s="186">
        <v>810000</v>
      </c>
      <c r="J64" s="127">
        <f t="shared" ref="J64" si="73">E64*G64</f>
        <v>3175000</v>
      </c>
      <c r="K64" s="127">
        <f t="shared" ref="K64" si="74">E64*H64</f>
        <v>875000</v>
      </c>
      <c r="L64" s="127">
        <f t="shared" ref="L64" si="75">K64+J64</f>
        <v>4050000</v>
      </c>
    </row>
    <row r="65" spans="1:12">
      <c r="A65" s="176">
        <f t="shared" si="64"/>
        <v>13</v>
      </c>
      <c r="B65" s="157" t="s">
        <v>163</v>
      </c>
      <c r="C65" s="81"/>
      <c r="D65" s="87"/>
      <c r="E65" s="191">
        <f>5*4.5</f>
        <v>22.5</v>
      </c>
      <c r="F65" s="158" t="s">
        <v>22</v>
      </c>
      <c r="G65" s="85">
        <v>145000</v>
      </c>
      <c r="H65" s="84">
        <v>35000</v>
      </c>
      <c r="I65" s="127">
        <f t="shared" ref="I65" si="76">H65+G65</f>
        <v>180000</v>
      </c>
      <c r="J65" s="127">
        <f t="shared" ref="J65" si="77">E65*G65</f>
        <v>3262500</v>
      </c>
      <c r="K65" s="127">
        <f t="shared" ref="K65" si="78">E65*H65</f>
        <v>787500</v>
      </c>
      <c r="L65" s="127">
        <f t="shared" ref="L65" si="79">K65+J65</f>
        <v>4050000</v>
      </c>
    </row>
    <row r="66" spans="1:12" ht="16.5" thickBot="1">
      <c r="A66" s="176">
        <f t="shared" si="64"/>
        <v>14</v>
      </c>
      <c r="B66" s="157" t="s">
        <v>137</v>
      </c>
      <c r="C66" s="81"/>
      <c r="D66" s="87"/>
      <c r="E66" s="194">
        <f>(E61+E62+E63)*0.7</f>
        <v>63.699999999999996</v>
      </c>
      <c r="F66" s="170" t="s">
        <v>21</v>
      </c>
      <c r="G66" s="125">
        <f>65000</f>
        <v>65000</v>
      </c>
      <c r="H66" s="126">
        <v>15000</v>
      </c>
      <c r="I66" s="126">
        <f t="shared" si="0"/>
        <v>80000</v>
      </c>
      <c r="J66" s="126">
        <f t="shared" si="12"/>
        <v>4140499.9999999995</v>
      </c>
      <c r="K66" s="126">
        <f t="shared" si="13"/>
        <v>955499.99999999988</v>
      </c>
      <c r="L66" s="126">
        <f t="shared" si="14"/>
        <v>5095999.9999999991</v>
      </c>
    </row>
    <row r="67" spans="1:12" ht="16.5">
      <c r="A67" s="83"/>
      <c r="B67" s="86"/>
      <c r="C67" s="81"/>
      <c r="D67" s="87"/>
      <c r="E67" s="140"/>
      <c r="F67" s="141"/>
      <c r="G67" s="90"/>
      <c r="H67" s="88"/>
      <c r="I67" s="89"/>
      <c r="J67" s="89"/>
      <c r="K67" s="89"/>
      <c r="L67" s="89">
        <f>SUM(L53:L66)</f>
        <v>108441003.75</v>
      </c>
    </row>
    <row r="68" spans="1:12">
      <c r="A68" s="83"/>
      <c r="B68" s="86"/>
      <c r="C68" s="81"/>
      <c r="D68" s="87"/>
      <c r="E68" s="82"/>
      <c r="F68" s="83"/>
      <c r="G68" s="85"/>
      <c r="H68" s="84"/>
      <c r="I68" s="84"/>
      <c r="J68" s="84"/>
      <c r="K68" s="84"/>
      <c r="L68" s="84"/>
    </row>
    <row r="69" spans="1:12" ht="16.5">
      <c r="A69" s="159" t="s">
        <v>11</v>
      </c>
      <c r="B69" s="156" t="s">
        <v>13</v>
      </c>
      <c r="C69" s="81"/>
      <c r="D69" s="87"/>
      <c r="E69" s="82"/>
      <c r="F69" s="83"/>
      <c r="G69" s="85"/>
      <c r="H69" s="84"/>
      <c r="I69" s="84"/>
      <c r="J69" s="84"/>
      <c r="K69" s="84"/>
      <c r="L69" s="84"/>
    </row>
    <row r="70" spans="1:12">
      <c r="A70" s="158">
        <v>1</v>
      </c>
      <c r="B70" s="157" t="s">
        <v>148</v>
      </c>
      <c r="C70" s="81"/>
      <c r="D70" s="87"/>
      <c r="E70" s="191">
        <v>72</v>
      </c>
      <c r="F70" s="158" t="s">
        <v>21</v>
      </c>
      <c r="G70" s="85">
        <v>145000</v>
      </c>
      <c r="H70" s="84">
        <v>25000</v>
      </c>
      <c r="I70" s="84">
        <f t="shared" si="0"/>
        <v>170000</v>
      </c>
      <c r="J70" s="84">
        <f t="shared" si="12"/>
        <v>10440000</v>
      </c>
      <c r="K70" s="84">
        <f t="shared" si="13"/>
        <v>1800000</v>
      </c>
      <c r="L70" s="84">
        <f t="shared" si="14"/>
        <v>12240000</v>
      </c>
    </row>
    <row r="71" spans="1:12">
      <c r="A71" s="158">
        <f t="shared" ref="A71:A81" si="80">A70+1</f>
        <v>2</v>
      </c>
      <c r="B71" s="157" t="s">
        <v>149</v>
      </c>
      <c r="C71" s="81"/>
      <c r="D71" s="87"/>
      <c r="E71" s="191">
        <v>1</v>
      </c>
      <c r="F71" s="158" t="s">
        <v>24</v>
      </c>
      <c r="G71" s="85">
        <v>2250000</v>
      </c>
      <c r="H71" s="84">
        <v>150000</v>
      </c>
      <c r="I71" s="84">
        <f t="shared" si="0"/>
        <v>2400000</v>
      </c>
      <c r="J71" s="84">
        <f t="shared" si="12"/>
        <v>2250000</v>
      </c>
      <c r="K71" s="84">
        <f t="shared" si="13"/>
        <v>150000</v>
      </c>
      <c r="L71" s="84">
        <f t="shared" si="14"/>
        <v>2400000</v>
      </c>
    </row>
    <row r="72" spans="1:12">
      <c r="A72" s="158">
        <f t="shared" si="80"/>
        <v>3</v>
      </c>
      <c r="B72" s="157" t="s">
        <v>154</v>
      </c>
      <c r="C72" s="81"/>
      <c r="D72" s="87"/>
      <c r="E72" s="191">
        <v>1</v>
      </c>
      <c r="F72" s="158" t="s">
        <v>24</v>
      </c>
      <c r="G72" s="85">
        <v>2150000</v>
      </c>
      <c r="H72" s="84">
        <v>150000</v>
      </c>
      <c r="I72" s="84">
        <f t="shared" si="0"/>
        <v>2300000</v>
      </c>
      <c r="J72" s="84">
        <f t="shared" si="12"/>
        <v>2150000</v>
      </c>
      <c r="K72" s="84">
        <f t="shared" si="13"/>
        <v>150000</v>
      </c>
      <c r="L72" s="84">
        <f t="shared" si="14"/>
        <v>2300000</v>
      </c>
    </row>
    <row r="73" spans="1:12">
      <c r="A73" s="158">
        <f t="shared" si="80"/>
        <v>4</v>
      </c>
      <c r="B73" s="157" t="s">
        <v>164</v>
      </c>
      <c r="C73" s="81"/>
      <c r="D73" s="87"/>
      <c r="E73" s="191">
        <v>1</v>
      </c>
      <c r="F73" s="158" t="s">
        <v>24</v>
      </c>
      <c r="G73" s="85">
        <v>1950000</v>
      </c>
      <c r="H73" s="84">
        <v>150000</v>
      </c>
      <c r="I73" s="84">
        <f t="shared" ref="I73" si="81">H73+G73</f>
        <v>2100000</v>
      </c>
      <c r="J73" s="84">
        <f t="shared" ref="J73" si="82">E73*G73</f>
        <v>1950000</v>
      </c>
      <c r="K73" s="84">
        <f t="shared" ref="K73" si="83">E73*H73</f>
        <v>150000</v>
      </c>
      <c r="L73" s="84">
        <f t="shared" ref="L73" si="84">K73+J73</f>
        <v>2100000</v>
      </c>
    </row>
    <row r="74" spans="1:12">
      <c r="A74" s="158">
        <f t="shared" si="80"/>
        <v>5</v>
      </c>
      <c r="B74" s="157" t="s">
        <v>150</v>
      </c>
      <c r="C74" s="81"/>
      <c r="D74" s="87"/>
      <c r="E74" s="191">
        <v>2</v>
      </c>
      <c r="F74" s="158" t="s">
        <v>24</v>
      </c>
      <c r="G74" s="85">
        <v>1950000</v>
      </c>
      <c r="H74" s="84">
        <v>150000</v>
      </c>
      <c r="I74" s="84">
        <f t="shared" ref="I74" si="85">H74+G74</f>
        <v>2100000</v>
      </c>
      <c r="J74" s="84">
        <f t="shared" ref="J74" si="86">E74*G74</f>
        <v>3900000</v>
      </c>
      <c r="K74" s="84">
        <f t="shared" ref="K74" si="87">E74*H74</f>
        <v>300000</v>
      </c>
      <c r="L74" s="84">
        <f t="shared" ref="L74" si="88">K74+J74</f>
        <v>4200000</v>
      </c>
    </row>
    <row r="75" spans="1:12">
      <c r="A75" s="158">
        <f t="shared" si="80"/>
        <v>6</v>
      </c>
      <c r="B75" s="157" t="s">
        <v>193</v>
      </c>
      <c r="C75" s="81"/>
      <c r="D75" s="87"/>
      <c r="E75" s="191">
        <v>4</v>
      </c>
      <c r="F75" s="158" t="s">
        <v>24</v>
      </c>
      <c r="G75" s="85">
        <v>2150000</v>
      </c>
      <c r="H75" s="84">
        <v>150000</v>
      </c>
      <c r="I75" s="84">
        <f t="shared" ref="I75" si="89">H75+G75</f>
        <v>2300000</v>
      </c>
      <c r="J75" s="84">
        <f t="shared" ref="J75" si="90">E75*G75</f>
        <v>8600000</v>
      </c>
      <c r="K75" s="84">
        <f t="shared" ref="K75" si="91">E75*H75</f>
        <v>600000</v>
      </c>
      <c r="L75" s="84">
        <f t="shared" ref="L75" si="92">K75+J75</f>
        <v>9200000</v>
      </c>
    </row>
    <row r="76" spans="1:12">
      <c r="A76" s="158">
        <f t="shared" si="80"/>
        <v>7</v>
      </c>
      <c r="B76" s="157" t="s">
        <v>194</v>
      </c>
      <c r="C76" s="81"/>
      <c r="D76" s="87"/>
      <c r="E76" s="191">
        <v>1</v>
      </c>
      <c r="F76" s="158" t="s">
        <v>24</v>
      </c>
      <c r="G76" s="85">
        <v>2750000</v>
      </c>
      <c r="H76" s="84">
        <v>175000</v>
      </c>
      <c r="I76" s="84">
        <f t="shared" ref="I76:I77" si="93">H76+G76</f>
        <v>2925000</v>
      </c>
      <c r="J76" s="84">
        <f t="shared" ref="J76:J77" si="94">E76*G76</f>
        <v>2750000</v>
      </c>
      <c r="K76" s="84">
        <f t="shared" ref="K76:K77" si="95">E76*H76</f>
        <v>175000</v>
      </c>
      <c r="L76" s="84">
        <f t="shared" ref="L76:L77" si="96">K76+J76</f>
        <v>2925000</v>
      </c>
    </row>
    <row r="77" spans="1:12">
      <c r="A77" s="158">
        <f t="shared" si="80"/>
        <v>8</v>
      </c>
      <c r="B77" s="157" t="s">
        <v>195</v>
      </c>
      <c r="C77" s="81"/>
      <c r="D77" s="87"/>
      <c r="E77" s="191">
        <v>1</v>
      </c>
      <c r="F77" s="158" t="s">
        <v>24</v>
      </c>
      <c r="G77" s="85">
        <v>2650000</v>
      </c>
      <c r="H77" s="84">
        <v>175000</v>
      </c>
      <c r="I77" s="84">
        <f t="shared" si="93"/>
        <v>2825000</v>
      </c>
      <c r="J77" s="84">
        <f t="shared" si="94"/>
        <v>2650000</v>
      </c>
      <c r="K77" s="84">
        <f t="shared" si="95"/>
        <v>175000</v>
      </c>
      <c r="L77" s="84">
        <f t="shared" si="96"/>
        <v>2825000</v>
      </c>
    </row>
    <row r="78" spans="1:12">
      <c r="A78" s="158">
        <f t="shared" si="80"/>
        <v>9</v>
      </c>
      <c r="B78" s="157" t="s">
        <v>151</v>
      </c>
      <c r="C78" s="81"/>
      <c r="D78" s="87"/>
      <c r="E78" s="191">
        <v>2</v>
      </c>
      <c r="F78" s="158" t="s">
        <v>24</v>
      </c>
      <c r="G78" s="85">
        <v>1850000</v>
      </c>
      <c r="H78" s="84">
        <v>115000</v>
      </c>
      <c r="I78" s="84">
        <f t="shared" ref="I78" si="97">H78+G78</f>
        <v>1965000</v>
      </c>
      <c r="J78" s="84">
        <f t="shared" ref="J78" si="98">E78*G78</f>
        <v>3700000</v>
      </c>
      <c r="K78" s="84">
        <f t="shared" ref="K78" si="99">E78*H78</f>
        <v>230000</v>
      </c>
      <c r="L78" s="84">
        <f t="shared" ref="L78" si="100">K78+J78</f>
        <v>3930000</v>
      </c>
    </row>
    <row r="79" spans="1:12">
      <c r="A79" s="158">
        <f t="shared" si="80"/>
        <v>10</v>
      </c>
      <c r="B79" s="157" t="s">
        <v>165</v>
      </c>
      <c r="C79" s="81"/>
      <c r="D79" s="87"/>
      <c r="E79" s="191">
        <f>4.7</f>
        <v>4.7</v>
      </c>
      <c r="F79" s="158" t="s">
        <v>22</v>
      </c>
      <c r="G79" s="85">
        <v>345000</v>
      </c>
      <c r="H79" s="84">
        <v>45000</v>
      </c>
      <c r="I79" s="84">
        <f t="shared" ref="I79:I80" si="101">H79+G79</f>
        <v>390000</v>
      </c>
      <c r="J79" s="84">
        <f t="shared" ref="J79:J80" si="102">E79*G79</f>
        <v>1621500</v>
      </c>
      <c r="K79" s="84">
        <f t="shared" ref="K79:K80" si="103">E79*H79</f>
        <v>211500</v>
      </c>
      <c r="L79" s="84">
        <f t="shared" ref="L79:L80" si="104">K79+J79</f>
        <v>1833000</v>
      </c>
    </row>
    <row r="80" spans="1:12">
      <c r="A80" s="158">
        <f t="shared" si="80"/>
        <v>11</v>
      </c>
      <c r="B80" s="157" t="s">
        <v>166</v>
      </c>
      <c r="C80" s="81"/>
      <c r="D80" s="87"/>
      <c r="E80" s="191">
        <f>1.51</f>
        <v>1.51</v>
      </c>
      <c r="F80" s="158" t="s">
        <v>22</v>
      </c>
      <c r="G80" s="85">
        <v>345000</v>
      </c>
      <c r="H80" s="84">
        <v>45000</v>
      </c>
      <c r="I80" s="84">
        <f t="shared" si="101"/>
        <v>390000</v>
      </c>
      <c r="J80" s="84">
        <f t="shared" si="102"/>
        <v>520950</v>
      </c>
      <c r="K80" s="84">
        <f t="shared" si="103"/>
        <v>67950</v>
      </c>
      <c r="L80" s="84">
        <f t="shared" si="104"/>
        <v>588900</v>
      </c>
    </row>
    <row r="81" spans="1:12" ht="16.5" thickBot="1">
      <c r="A81" s="158">
        <f t="shared" si="80"/>
        <v>12</v>
      </c>
      <c r="B81" s="157" t="s">
        <v>196</v>
      </c>
      <c r="C81" s="185"/>
      <c r="D81" s="190"/>
      <c r="E81" s="194">
        <v>2</v>
      </c>
      <c r="F81" s="170" t="s">
        <v>24</v>
      </c>
      <c r="G81" s="196">
        <v>3250000</v>
      </c>
      <c r="H81" s="197">
        <v>225000</v>
      </c>
      <c r="I81" s="126">
        <f t="shared" ref="I81" si="105">H81+G81</f>
        <v>3475000</v>
      </c>
      <c r="J81" s="126">
        <f t="shared" ref="J81" si="106">E81*G81</f>
        <v>6500000</v>
      </c>
      <c r="K81" s="126">
        <f t="shared" ref="K81" si="107">E81*H81</f>
        <v>450000</v>
      </c>
      <c r="L81" s="126">
        <f t="shared" ref="L81" si="108">K81+J81</f>
        <v>6950000</v>
      </c>
    </row>
    <row r="82" spans="1:12" ht="16.5">
      <c r="A82" s="83"/>
      <c r="B82" s="86"/>
      <c r="C82" s="81"/>
      <c r="D82" s="87"/>
      <c r="E82" s="140"/>
      <c r="F82" s="141"/>
      <c r="G82" s="90"/>
      <c r="H82" s="88"/>
      <c r="I82" s="89"/>
      <c r="J82" s="89"/>
      <c r="K82" s="89"/>
      <c r="L82" s="89">
        <f>SUM(L70:L81)</f>
        <v>51491900</v>
      </c>
    </row>
    <row r="83" spans="1:12">
      <c r="A83" s="83"/>
      <c r="B83" s="86"/>
      <c r="C83" s="81"/>
      <c r="D83" s="87"/>
      <c r="E83" s="82"/>
      <c r="F83" s="83"/>
      <c r="G83" s="85"/>
      <c r="H83" s="84"/>
      <c r="I83" s="84"/>
      <c r="J83" s="84"/>
      <c r="K83" s="84"/>
      <c r="L83" s="84"/>
    </row>
    <row r="84" spans="1:12" ht="16.5">
      <c r="A84" s="159" t="s">
        <v>12</v>
      </c>
      <c r="B84" s="160" t="s">
        <v>53</v>
      </c>
      <c r="C84" s="81"/>
      <c r="D84" s="87"/>
      <c r="E84" s="82"/>
      <c r="F84" s="83"/>
      <c r="G84" s="85"/>
      <c r="H84" s="84"/>
      <c r="I84" s="84"/>
      <c r="J84" s="84"/>
      <c r="K84" s="84"/>
      <c r="L84" s="84"/>
    </row>
    <row r="85" spans="1:12">
      <c r="A85" s="158">
        <v>1</v>
      </c>
      <c r="B85" s="169" t="s">
        <v>91</v>
      </c>
      <c r="C85" s="81"/>
      <c r="D85" s="87"/>
      <c r="E85" s="202">
        <v>6</v>
      </c>
      <c r="F85" s="161" t="s">
        <v>24</v>
      </c>
      <c r="G85" s="84">
        <v>425000</v>
      </c>
      <c r="H85" s="84">
        <v>35000</v>
      </c>
      <c r="I85" s="84">
        <f t="shared" ref="I85:I149" si="109">H85+G85</f>
        <v>460000</v>
      </c>
      <c r="J85" s="84">
        <f t="shared" si="12"/>
        <v>2550000</v>
      </c>
      <c r="K85" s="84">
        <f t="shared" si="13"/>
        <v>210000</v>
      </c>
      <c r="L85" s="84">
        <f t="shared" si="14"/>
        <v>2760000</v>
      </c>
    </row>
    <row r="86" spans="1:12">
      <c r="A86" s="158">
        <f>A85+1</f>
        <v>2</v>
      </c>
      <c r="B86" s="169" t="s">
        <v>92</v>
      </c>
      <c r="C86" s="81"/>
      <c r="D86" s="87"/>
      <c r="E86" s="202">
        <v>6</v>
      </c>
      <c r="F86" s="161" t="s">
        <v>24</v>
      </c>
      <c r="G86" s="90">
        <v>275000</v>
      </c>
      <c r="H86" s="84">
        <v>45000</v>
      </c>
      <c r="I86" s="84">
        <f t="shared" si="109"/>
        <v>320000</v>
      </c>
      <c r="J86" s="84">
        <f t="shared" si="12"/>
        <v>1650000</v>
      </c>
      <c r="K86" s="84">
        <f t="shared" si="13"/>
        <v>270000</v>
      </c>
      <c r="L86" s="84">
        <f t="shared" si="14"/>
        <v>1920000</v>
      </c>
    </row>
    <row r="87" spans="1:12">
      <c r="A87" s="158">
        <f t="shared" ref="A87:A100" si="110">A86+1</f>
        <v>3</v>
      </c>
      <c r="B87" s="169" t="s">
        <v>142</v>
      </c>
      <c r="C87" s="81"/>
      <c r="D87" s="87"/>
      <c r="E87" s="202">
        <v>6</v>
      </c>
      <c r="F87" s="161" t="s">
        <v>32</v>
      </c>
      <c r="G87" s="90">
        <v>225000</v>
      </c>
      <c r="H87" s="84">
        <v>45000</v>
      </c>
      <c r="I87" s="84">
        <f t="shared" si="109"/>
        <v>270000</v>
      </c>
      <c r="J87" s="84">
        <f t="shared" si="12"/>
        <v>1350000</v>
      </c>
      <c r="K87" s="84">
        <f t="shared" si="13"/>
        <v>270000</v>
      </c>
      <c r="L87" s="84">
        <f t="shared" si="14"/>
        <v>1620000</v>
      </c>
    </row>
    <row r="88" spans="1:12">
      <c r="A88" s="158">
        <f t="shared" si="110"/>
        <v>4</v>
      </c>
      <c r="B88" s="172" t="s">
        <v>131</v>
      </c>
      <c r="C88" s="81"/>
      <c r="D88" s="87"/>
      <c r="E88" s="202">
        <v>6</v>
      </c>
      <c r="F88" s="161" t="s">
        <v>54</v>
      </c>
      <c r="G88" s="85">
        <v>145000</v>
      </c>
      <c r="H88" s="84">
        <v>25000</v>
      </c>
      <c r="I88" s="84">
        <f t="shared" si="109"/>
        <v>170000</v>
      </c>
      <c r="J88" s="84">
        <f t="shared" si="12"/>
        <v>870000</v>
      </c>
      <c r="K88" s="84">
        <f t="shared" si="13"/>
        <v>150000</v>
      </c>
      <c r="L88" s="84">
        <f t="shared" si="14"/>
        <v>1020000</v>
      </c>
    </row>
    <row r="89" spans="1:12">
      <c r="A89" s="158">
        <f t="shared" si="110"/>
        <v>5</v>
      </c>
      <c r="B89" s="172" t="s">
        <v>132</v>
      </c>
      <c r="C89" s="81"/>
      <c r="D89" s="87"/>
      <c r="E89" s="202">
        <v>3</v>
      </c>
      <c r="F89" s="161" t="s">
        <v>54</v>
      </c>
      <c r="G89" s="85">
        <v>115000</v>
      </c>
      <c r="H89" s="84">
        <v>25000</v>
      </c>
      <c r="I89" s="84">
        <f t="shared" ref="I89" si="111">H89+G89</f>
        <v>140000</v>
      </c>
      <c r="J89" s="84">
        <f t="shared" ref="J89" si="112">E89*G89</f>
        <v>345000</v>
      </c>
      <c r="K89" s="84">
        <f t="shared" ref="K89" si="113">E89*H89</f>
        <v>75000</v>
      </c>
      <c r="L89" s="84">
        <f t="shared" ref="L89" si="114">K89+J89</f>
        <v>420000</v>
      </c>
    </row>
    <row r="90" spans="1:12">
      <c r="A90" s="158">
        <f t="shared" si="110"/>
        <v>6</v>
      </c>
      <c r="B90" s="181" t="s">
        <v>197</v>
      </c>
      <c r="C90" s="185"/>
      <c r="D90" s="190"/>
      <c r="E90" s="202">
        <v>1</v>
      </c>
      <c r="F90" s="180" t="s">
        <v>32</v>
      </c>
      <c r="G90" s="189">
        <v>2225000</v>
      </c>
      <c r="H90" s="186">
        <v>225000</v>
      </c>
      <c r="I90" s="84">
        <f t="shared" ref="I90:I97" si="115">H90+G90</f>
        <v>2450000</v>
      </c>
      <c r="J90" s="84">
        <f t="shared" ref="J90:J97" si="116">E90*G90</f>
        <v>2225000</v>
      </c>
      <c r="K90" s="84">
        <f t="shared" ref="K90:K97" si="117">E90*H90</f>
        <v>225000</v>
      </c>
      <c r="L90" s="84">
        <f t="shared" ref="L90:L97" si="118">K90+J90</f>
        <v>2450000</v>
      </c>
    </row>
    <row r="91" spans="1:12">
      <c r="A91" s="158">
        <f t="shared" si="110"/>
        <v>7</v>
      </c>
      <c r="B91" s="181" t="s">
        <v>198</v>
      </c>
      <c r="C91" s="185"/>
      <c r="D91" s="190"/>
      <c r="E91" s="202">
        <v>2</v>
      </c>
      <c r="F91" s="180" t="s">
        <v>54</v>
      </c>
      <c r="G91" s="189">
        <v>325000</v>
      </c>
      <c r="H91" s="186">
        <v>35000</v>
      </c>
      <c r="I91" s="84">
        <f t="shared" si="115"/>
        <v>360000</v>
      </c>
      <c r="J91" s="84">
        <f t="shared" si="116"/>
        <v>650000</v>
      </c>
      <c r="K91" s="84">
        <f t="shared" si="117"/>
        <v>70000</v>
      </c>
      <c r="L91" s="84">
        <f t="shared" si="118"/>
        <v>720000</v>
      </c>
    </row>
    <row r="92" spans="1:12">
      <c r="A92" s="158">
        <f t="shared" si="110"/>
        <v>8</v>
      </c>
      <c r="B92" s="181" t="s">
        <v>199</v>
      </c>
      <c r="C92" s="185"/>
      <c r="D92" s="190"/>
      <c r="E92" s="202">
        <v>1</v>
      </c>
      <c r="F92" s="180" t="s">
        <v>24</v>
      </c>
      <c r="G92" s="189">
        <v>225000</v>
      </c>
      <c r="H92" s="186">
        <v>45000</v>
      </c>
      <c r="I92" s="84">
        <f t="shared" si="115"/>
        <v>270000</v>
      </c>
      <c r="J92" s="84">
        <f t="shared" si="116"/>
        <v>225000</v>
      </c>
      <c r="K92" s="84">
        <f t="shared" si="117"/>
        <v>45000</v>
      </c>
      <c r="L92" s="84">
        <f t="shared" si="118"/>
        <v>270000</v>
      </c>
    </row>
    <row r="93" spans="1:12">
      <c r="A93" s="158">
        <f t="shared" si="110"/>
        <v>9</v>
      </c>
      <c r="B93" s="181" t="s">
        <v>200</v>
      </c>
      <c r="C93" s="185"/>
      <c r="D93" s="190"/>
      <c r="E93" s="202">
        <v>1</v>
      </c>
      <c r="F93" s="180" t="s">
        <v>24</v>
      </c>
      <c r="G93" s="189">
        <v>3825000</v>
      </c>
      <c r="H93" s="186">
        <v>245000</v>
      </c>
      <c r="I93" s="84">
        <f t="shared" si="115"/>
        <v>4070000</v>
      </c>
      <c r="J93" s="84">
        <f t="shared" si="116"/>
        <v>3825000</v>
      </c>
      <c r="K93" s="84">
        <f t="shared" si="117"/>
        <v>245000</v>
      </c>
      <c r="L93" s="84">
        <f t="shared" si="118"/>
        <v>4070000</v>
      </c>
    </row>
    <row r="94" spans="1:12">
      <c r="A94" s="158">
        <f t="shared" si="110"/>
        <v>10</v>
      </c>
      <c r="B94" s="181" t="s">
        <v>201</v>
      </c>
      <c r="C94" s="185"/>
      <c r="D94" s="190"/>
      <c r="E94" s="202">
        <v>2</v>
      </c>
      <c r="F94" s="180" t="s">
        <v>54</v>
      </c>
      <c r="G94" s="189">
        <v>325000</v>
      </c>
      <c r="H94" s="186">
        <v>35000</v>
      </c>
      <c r="I94" s="84">
        <f t="shared" si="115"/>
        <v>360000</v>
      </c>
      <c r="J94" s="84">
        <f t="shared" si="116"/>
        <v>650000</v>
      </c>
      <c r="K94" s="84">
        <f t="shared" si="117"/>
        <v>70000</v>
      </c>
      <c r="L94" s="84">
        <f t="shared" si="118"/>
        <v>720000</v>
      </c>
    </row>
    <row r="95" spans="1:12">
      <c r="A95" s="158">
        <f t="shared" si="110"/>
        <v>11</v>
      </c>
      <c r="B95" s="181" t="s">
        <v>202</v>
      </c>
      <c r="C95" s="185"/>
      <c r="D95" s="190"/>
      <c r="E95" s="202">
        <v>1</v>
      </c>
      <c r="F95" s="180" t="s">
        <v>54</v>
      </c>
      <c r="G95" s="189">
        <v>225000</v>
      </c>
      <c r="H95" s="186">
        <v>45000</v>
      </c>
      <c r="I95" s="84">
        <f t="shared" si="115"/>
        <v>270000</v>
      </c>
      <c r="J95" s="84">
        <f t="shared" si="116"/>
        <v>225000</v>
      </c>
      <c r="K95" s="84">
        <f t="shared" si="117"/>
        <v>45000</v>
      </c>
      <c r="L95" s="84">
        <f t="shared" si="118"/>
        <v>270000</v>
      </c>
    </row>
    <row r="96" spans="1:12">
      <c r="A96" s="158">
        <f t="shared" si="110"/>
        <v>12</v>
      </c>
      <c r="B96" s="181" t="s">
        <v>203</v>
      </c>
      <c r="C96" s="185"/>
      <c r="D96" s="190"/>
      <c r="E96" s="202">
        <v>1</v>
      </c>
      <c r="F96" s="180" t="s">
        <v>32</v>
      </c>
      <c r="G96" s="189">
        <v>235000</v>
      </c>
      <c r="H96" s="186">
        <v>15000</v>
      </c>
      <c r="I96" s="84">
        <f t="shared" si="115"/>
        <v>250000</v>
      </c>
      <c r="J96" s="84">
        <f t="shared" si="116"/>
        <v>235000</v>
      </c>
      <c r="K96" s="84">
        <f t="shared" si="117"/>
        <v>15000</v>
      </c>
      <c r="L96" s="84">
        <f t="shared" si="118"/>
        <v>250000</v>
      </c>
    </row>
    <row r="97" spans="1:12">
      <c r="A97" s="158">
        <f t="shared" si="110"/>
        <v>13</v>
      </c>
      <c r="B97" s="181" t="s">
        <v>204</v>
      </c>
      <c r="C97" s="185"/>
      <c r="D97" s="190"/>
      <c r="E97" s="202">
        <v>1</v>
      </c>
      <c r="F97" s="180" t="s">
        <v>32</v>
      </c>
      <c r="G97" s="189">
        <v>235000</v>
      </c>
      <c r="H97" s="186">
        <v>15000</v>
      </c>
      <c r="I97" s="84">
        <f t="shared" si="115"/>
        <v>250000</v>
      </c>
      <c r="J97" s="84">
        <f t="shared" si="116"/>
        <v>235000</v>
      </c>
      <c r="K97" s="84">
        <f t="shared" si="117"/>
        <v>15000</v>
      </c>
      <c r="L97" s="84">
        <f t="shared" si="118"/>
        <v>250000</v>
      </c>
    </row>
    <row r="98" spans="1:12">
      <c r="A98" s="158">
        <f t="shared" si="110"/>
        <v>14</v>
      </c>
      <c r="B98" s="169" t="s">
        <v>128</v>
      </c>
      <c r="C98" s="81"/>
      <c r="D98" s="87"/>
      <c r="E98" s="146">
        <v>3</v>
      </c>
      <c r="F98" s="175" t="s">
        <v>54</v>
      </c>
      <c r="G98" s="128">
        <v>98000</v>
      </c>
      <c r="H98" s="127">
        <v>15000</v>
      </c>
      <c r="I98" s="127">
        <f t="shared" ref="I98" si="119">H98+G98</f>
        <v>113000</v>
      </c>
      <c r="J98" s="127">
        <f t="shared" ref="J98" si="120">E98*G98</f>
        <v>294000</v>
      </c>
      <c r="K98" s="127">
        <f t="shared" ref="K98" si="121">E98*H98</f>
        <v>45000</v>
      </c>
      <c r="L98" s="127">
        <f t="shared" ref="L98" si="122">K98+J98</f>
        <v>339000</v>
      </c>
    </row>
    <row r="99" spans="1:12">
      <c r="A99" s="158">
        <f t="shared" si="110"/>
        <v>15</v>
      </c>
      <c r="B99" s="169" t="s">
        <v>94</v>
      </c>
      <c r="C99" s="81"/>
      <c r="D99" s="87"/>
      <c r="E99" s="146">
        <v>3</v>
      </c>
      <c r="F99" s="175" t="s">
        <v>24</v>
      </c>
      <c r="G99" s="128">
        <v>65000</v>
      </c>
      <c r="H99" s="127">
        <v>15000</v>
      </c>
      <c r="I99" s="127">
        <f t="shared" ref="I99" si="123">H99+G99</f>
        <v>80000</v>
      </c>
      <c r="J99" s="127">
        <f t="shared" ref="J99" si="124">E99*G99</f>
        <v>195000</v>
      </c>
      <c r="K99" s="127">
        <f t="shared" ref="K99" si="125">E99*H99</f>
        <v>45000</v>
      </c>
      <c r="L99" s="127">
        <f t="shared" ref="L99" si="126">K99+J99</f>
        <v>240000</v>
      </c>
    </row>
    <row r="100" spans="1:12" ht="16.5" thickBot="1">
      <c r="A100" s="158">
        <f t="shared" si="110"/>
        <v>16</v>
      </c>
      <c r="B100" s="169" t="s">
        <v>95</v>
      </c>
      <c r="C100" s="81"/>
      <c r="D100" s="87"/>
      <c r="E100" s="203">
        <v>6</v>
      </c>
      <c r="F100" s="173" t="s">
        <v>24</v>
      </c>
      <c r="G100" s="125">
        <v>85000</v>
      </c>
      <c r="H100" s="126">
        <v>15000</v>
      </c>
      <c r="I100" s="126">
        <f t="shared" si="109"/>
        <v>100000</v>
      </c>
      <c r="J100" s="126">
        <f t="shared" ref="J100:J149" si="127">E100*G100</f>
        <v>510000</v>
      </c>
      <c r="K100" s="126">
        <f t="shared" ref="K100:K149" si="128">E100*H100</f>
        <v>90000</v>
      </c>
      <c r="L100" s="126">
        <f t="shared" ref="L100:L149" si="129">K100+J100</f>
        <v>600000</v>
      </c>
    </row>
    <row r="101" spans="1:12" ht="16.5">
      <c r="A101" s="83"/>
      <c r="B101" s="86"/>
      <c r="C101" s="81"/>
      <c r="D101" s="87"/>
      <c r="E101" s="140"/>
      <c r="F101" s="141"/>
      <c r="G101" s="90"/>
      <c r="H101" s="88"/>
      <c r="I101" s="89"/>
      <c r="J101" s="89"/>
      <c r="K101" s="89"/>
      <c r="L101" s="89">
        <f>SUM(L85:L100)</f>
        <v>17919000</v>
      </c>
    </row>
    <row r="102" spans="1:12">
      <c r="A102" s="83"/>
      <c r="B102" s="86"/>
      <c r="C102" s="81"/>
      <c r="D102" s="87"/>
      <c r="E102" s="82"/>
      <c r="F102" s="83"/>
      <c r="G102" s="85"/>
      <c r="H102" s="84"/>
      <c r="I102" s="84"/>
      <c r="J102" s="84"/>
      <c r="K102" s="84"/>
      <c r="L102" s="84"/>
    </row>
    <row r="103" spans="1:12" ht="16.5">
      <c r="A103" s="159" t="s">
        <v>36</v>
      </c>
      <c r="B103" s="156" t="s">
        <v>33</v>
      </c>
      <c r="C103" s="81"/>
      <c r="D103" s="87"/>
      <c r="E103" s="82"/>
      <c r="F103" s="83"/>
      <c r="G103" s="85"/>
      <c r="H103" s="84"/>
      <c r="I103" s="84"/>
      <c r="J103" s="84"/>
      <c r="K103" s="84"/>
      <c r="L103" s="84"/>
    </row>
    <row r="104" spans="1:12">
      <c r="A104" s="171">
        <v>1</v>
      </c>
      <c r="B104" s="157" t="s">
        <v>138</v>
      </c>
      <c r="C104" s="129"/>
      <c r="D104" s="130"/>
      <c r="E104" s="191">
        <f>99-E105</f>
        <v>79</v>
      </c>
      <c r="F104" s="171" t="s">
        <v>22</v>
      </c>
      <c r="G104" s="85">
        <v>115000</v>
      </c>
      <c r="H104" s="84">
        <v>30000</v>
      </c>
      <c r="I104" s="84">
        <f t="shared" ref="I104" si="130">H104+G104</f>
        <v>145000</v>
      </c>
      <c r="J104" s="84">
        <f t="shared" ref="J104" si="131">E104*G104</f>
        <v>9085000</v>
      </c>
      <c r="K104" s="84">
        <f t="shared" ref="K104" si="132">E104*H104</f>
        <v>2370000</v>
      </c>
      <c r="L104" s="84">
        <f t="shared" ref="L104" si="133">K104+J104</f>
        <v>11455000</v>
      </c>
    </row>
    <row r="105" spans="1:12">
      <c r="A105" s="184">
        <f>A104+1</f>
        <v>2</v>
      </c>
      <c r="B105" s="183" t="s">
        <v>205</v>
      </c>
      <c r="C105" s="199"/>
      <c r="D105" s="204"/>
      <c r="E105" s="191">
        <v>20</v>
      </c>
      <c r="F105" s="184" t="s">
        <v>22</v>
      </c>
      <c r="G105" s="189">
        <v>245000</v>
      </c>
      <c r="H105" s="186">
        <v>65000</v>
      </c>
      <c r="I105" s="84">
        <f t="shared" ref="I105" si="134">H105+G105</f>
        <v>310000</v>
      </c>
      <c r="J105" s="84">
        <f t="shared" ref="J105" si="135">E105*G105</f>
        <v>4900000</v>
      </c>
      <c r="K105" s="84">
        <f t="shared" ref="K105" si="136">E105*H105</f>
        <v>1300000</v>
      </c>
      <c r="L105" s="84">
        <f t="shared" ref="L105" si="137">K105+J105</f>
        <v>6200000</v>
      </c>
    </row>
    <row r="106" spans="1:12" ht="16.5" thickBot="1">
      <c r="A106" s="184">
        <f>A105+1</f>
        <v>3</v>
      </c>
      <c r="B106" s="174" t="s">
        <v>121</v>
      </c>
      <c r="C106" s="129"/>
      <c r="D106" s="130"/>
      <c r="E106" s="194">
        <f>E104*0.85</f>
        <v>67.149999999999991</v>
      </c>
      <c r="F106" s="170" t="s">
        <v>21</v>
      </c>
      <c r="G106" s="125">
        <v>18000</v>
      </c>
      <c r="H106" s="126">
        <v>10500</v>
      </c>
      <c r="I106" s="126">
        <f t="shared" si="109"/>
        <v>28500</v>
      </c>
      <c r="J106" s="126">
        <f t="shared" si="127"/>
        <v>1208699.9999999998</v>
      </c>
      <c r="K106" s="126">
        <f t="shared" si="128"/>
        <v>705074.99999999988</v>
      </c>
      <c r="L106" s="126">
        <f t="shared" si="129"/>
        <v>1913774.9999999995</v>
      </c>
    </row>
    <row r="107" spans="1:12" ht="16.5">
      <c r="A107" s="81"/>
      <c r="B107" s="86"/>
      <c r="C107" s="81"/>
      <c r="D107" s="92"/>
      <c r="E107" s="142"/>
      <c r="F107" s="141"/>
      <c r="G107" s="88"/>
      <c r="H107" s="88"/>
      <c r="I107" s="89"/>
      <c r="J107" s="89"/>
      <c r="K107" s="89"/>
      <c r="L107" s="89">
        <f>SUM(L104:L106)</f>
        <v>19568775</v>
      </c>
    </row>
    <row r="108" spans="1:12" ht="16.5">
      <c r="A108" s="81"/>
      <c r="B108" s="86"/>
      <c r="C108" s="81"/>
      <c r="D108" s="92"/>
      <c r="E108" s="93"/>
      <c r="F108" s="83"/>
      <c r="G108" s="90"/>
      <c r="H108" s="88"/>
      <c r="I108" s="89"/>
      <c r="J108" s="89"/>
      <c r="K108" s="89"/>
      <c r="L108" s="89"/>
    </row>
    <row r="109" spans="1:12" ht="16.5">
      <c r="A109" s="94" t="s">
        <v>37</v>
      </c>
      <c r="B109" s="95" t="s">
        <v>96</v>
      </c>
      <c r="C109" s="81"/>
      <c r="D109" s="92"/>
      <c r="E109" s="93"/>
      <c r="F109" s="83"/>
      <c r="G109" s="90"/>
      <c r="H109" s="88"/>
      <c r="I109" s="89"/>
      <c r="J109" s="89"/>
      <c r="K109" s="89"/>
      <c r="L109" s="89"/>
    </row>
    <row r="110" spans="1:12">
      <c r="A110" s="81">
        <v>1</v>
      </c>
      <c r="B110" s="157" t="s">
        <v>100</v>
      </c>
      <c r="C110" s="81"/>
      <c r="D110" s="87"/>
      <c r="E110" s="191">
        <f>E104</f>
        <v>79</v>
      </c>
      <c r="F110" s="158" t="s">
        <v>22</v>
      </c>
      <c r="G110" s="90">
        <v>25000</v>
      </c>
      <c r="H110" s="88">
        <v>12500</v>
      </c>
      <c r="I110" s="84">
        <f t="shared" ref="I110" si="138">H110+G110</f>
        <v>37500</v>
      </c>
      <c r="J110" s="84">
        <f t="shared" ref="J110" si="139">E110*G110</f>
        <v>1975000</v>
      </c>
      <c r="K110" s="84">
        <f t="shared" ref="K110" si="140">E110*H110</f>
        <v>987500</v>
      </c>
      <c r="L110" s="84">
        <f t="shared" ref="L110" si="141">K110+J110</f>
        <v>2962500</v>
      </c>
    </row>
    <row r="111" spans="1:12">
      <c r="A111" s="81">
        <f>A110+1</f>
        <v>2</v>
      </c>
      <c r="B111" s="157" t="s">
        <v>98</v>
      </c>
      <c r="C111" s="81"/>
      <c r="D111" s="87"/>
      <c r="E111" s="191">
        <f>E54/2.05</f>
        <v>175.52439024390247</v>
      </c>
      <c r="F111" s="158" t="s">
        <v>22</v>
      </c>
      <c r="G111" s="90">
        <v>35000</v>
      </c>
      <c r="H111" s="88">
        <v>16000</v>
      </c>
      <c r="I111" s="84">
        <f t="shared" ref="I111:I112" si="142">H111+G111</f>
        <v>51000</v>
      </c>
      <c r="J111" s="84">
        <f t="shared" ref="J111:J112" si="143">E111*G111</f>
        <v>6143353.6585365869</v>
      </c>
      <c r="K111" s="84">
        <f t="shared" ref="K111:K112" si="144">E111*H111</f>
        <v>2808390.2439024397</v>
      </c>
      <c r="L111" s="84">
        <f t="shared" ref="L111:L112" si="145">K111+J111</f>
        <v>8951743.9024390262</v>
      </c>
    </row>
    <row r="112" spans="1:12">
      <c r="A112" s="81">
        <f t="shared" ref="A112:A114" si="146">A111+1</f>
        <v>3</v>
      </c>
      <c r="B112" s="157" t="s">
        <v>99</v>
      </c>
      <c r="C112" s="81"/>
      <c r="D112" s="92"/>
      <c r="E112" s="191">
        <f>E55/2.05</f>
        <v>175.52439024390247</v>
      </c>
      <c r="F112" s="158" t="s">
        <v>22</v>
      </c>
      <c r="G112" s="90">
        <v>45000</v>
      </c>
      <c r="H112" s="88">
        <v>16000</v>
      </c>
      <c r="I112" s="84">
        <f t="shared" si="142"/>
        <v>61000</v>
      </c>
      <c r="J112" s="84">
        <f t="shared" si="143"/>
        <v>7898597.5609756112</v>
      </c>
      <c r="K112" s="84">
        <f t="shared" si="144"/>
        <v>2808390.2439024397</v>
      </c>
      <c r="L112" s="84">
        <f t="shared" si="145"/>
        <v>10706987.80487805</v>
      </c>
    </row>
    <row r="113" spans="1:12">
      <c r="A113" s="81">
        <f t="shared" si="146"/>
        <v>4</v>
      </c>
      <c r="B113" s="131" t="s">
        <v>97</v>
      </c>
      <c r="C113" s="81"/>
      <c r="D113" s="92"/>
      <c r="E113" s="82">
        <f>E70</f>
        <v>72</v>
      </c>
      <c r="F113" s="83" t="s">
        <v>21</v>
      </c>
      <c r="G113" s="90">
        <v>30000</v>
      </c>
      <c r="H113" s="88">
        <v>15000</v>
      </c>
      <c r="I113" s="84">
        <f t="shared" ref="I113:I114" si="147">H113+G113</f>
        <v>45000</v>
      </c>
      <c r="J113" s="84">
        <f t="shared" ref="J113:J114" si="148">E113*G113</f>
        <v>2160000</v>
      </c>
      <c r="K113" s="84">
        <f t="shared" ref="K113:K114" si="149">E113*H113</f>
        <v>1080000</v>
      </c>
      <c r="L113" s="84">
        <f t="shared" ref="L113:L114" si="150">K113+J113</f>
        <v>3240000</v>
      </c>
    </row>
    <row r="114" spans="1:12" ht="16.5" thickBot="1">
      <c r="A114" s="81">
        <f t="shared" si="146"/>
        <v>5</v>
      </c>
      <c r="B114" s="131" t="s">
        <v>101</v>
      </c>
      <c r="C114" s="81"/>
      <c r="D114" s="92"/>
      <c r="E114" s="143">
        <f>10*2.4</f>
        <v>24</v>
      </c>
      <c r="F114" s="144" t="s">
        <v>22</v>
      </c>
      <c r="G114" s="125">
        <v>115000</v>
      </c>
      <c r="H114" s="126">
        <v>25000</v>
      </c>
      <c r="I114" s="126">
        <f t="shared" si="147"/>
        <v>140000</v>
      </c>
      <c r="J114" s="126">
        <f t="shared" si="148"/>
        <v>2760000</v>
      </c>
      <c r="K114" s="126">
        <f t="shared" si="149"/>
        <v>600000</v>
      </c>
      <c r="L114" s="126">
        <f t="shared" si="150"/>
        <v>3360000</v>
      </c>
    </row>
    <row r="115" spans="1:12" ht="16.5">
      <c r="A115" s="81"/>
      <c r="B115" s="131"/>
      <c r="C115" s="81"/>
      <c r="D115" s="92"/>
      <c r="E115" s="142"/>
      <c r="F115" s="141"/>
      <c r="G115" s="90"/>
      <c r="H115" s="88"/>
      <c r="I115" s="89"/>
      <c r="J115" s="89"/>
      <c r="K115" s="89"/>
      <c r="L115" s="89">
        <f>SUM(L110:L114)</f>
        <v>29221231.707317077</v>
      </c>
    </row>
    <row r="116" spans="1:12" ht="16.5">
      <c r="A116" s="81"/>
      <c r="B116" s="86"/>
      <c r="C116" s="81"/>
      <c r="D116" s="92"/>
      <c r="E116" s="93"/>
      <c r="F116" s="83"/>
      <c r="G116" s="90"/>
      <c r="H116" s="88"/>
      <c r="I116" s="89"/>
      <c r="J116" s="89"/>
      <c r="K116" s="89"/>
      <c r="L116" s="89"/>
    </row>
    <row r="117" spans="1:12" ht="17.25" customHeight="1">
      <c r="A117" s="159" t="s">
        <v>14</v>
      </c>
      <c r="B117" s="156" t="s">
        <v>15</v>
      </c>
      <c r="C117" s="81"/>
      <c r="D117" s="87"/>
      <c r="E117" s="191"/>
      <c r="F117" s="158"/>
      <c r="G117" s="85"/>
      <c r="H117" s="84"/>
      <c r="I117" s="84"/>
      <c r="J117" s="84"/>
      <c r="K117" s="84"/>
      <c r="L117" s="84"/>
    </row>
    <row r="118" spans="1:12">
      <c r="A118" s="158">
        <v>1</v>
      </c>
      <c r="B118" s="157" t="s">
        <v>59</v>
      </c>
      <c r="C118" s="81"/>
      <c r="D118" s="87"/>
      <c r="E118" s="191">
        <f>4*6</f>
        <v>24</v>
      </c>
      <c r="F118" s="158" t="s">
        <v>21</v>
      </c>
      <c r="G118" s="85">
        <v>125000</v>
      </c>
      <c r="H118" s="84">
        <v>17000</v>
      </c>
      <c r="I118" s="84">
        <f t="shared" si="109"/>
        <v>142000</v>
      </c>
      <c r="J118" s="84">
        <f t="shared" si="127"/>
        <v>3000000</v>
      </c>
      <c r="K118" s="84">
        <f t="shared" si="128"/>
        <v>408000</v>
      </c>
      <c r="L118" s="84">
        <f t="shared" si="129"/>
        <v>3408000</v>
      </c>
    </row>
    <row r="119" spans="1:12">
      <c r="A119" s="158">
        <f>A118+1</f>
        <v>2</v>
      </c>
      <c r="B119" s="157" t="s">
        <v>72</v>
      </c>
      <c r="C119" s="81"/>
      <c r="D119" s="87"/>
      <c r="E119" s="191">
        <f>4*6</f>
        <v>24</v>
      </c>
      <c r="F119" s="158" t="s">
        <v>21</v>
      </c>
      <c r="G119" s="85">
        <v>95000</v>
      </c>
      <c r="H119" s="84">
        <v>15000</v>
      </c>
      <c r="I119" s="84">
        <f t="shared" si="109"/>
        <v>110000</v>
      </c>
      <c r="J119" s="84">
        <f t="shared" si="127"/>
        <v>2280000</v>
      </c>
      <c r="K119" s="84">
        <f t="shared" si="128"/>
        <v>360000</v>
      </c>
      <c r="L119" s="84">
        <f t="shared" si="129"/>
        <v>2640000</v>
      </c>
    </row>
    <row r="120" spans="1:12">
      <c r="A120" s="158">
        <f t="shared" ref="A120:A129" si="151">A119+1</f>
        <v>3</v>
      </c>
      <c r="B120" s="157" t="s">
        <v>73</v>
      </c>
      <c r="C120" s="81"/>
      <c r="D120" s="87"/>
      <c r="E120" s="191">
        <f>4*7</f>
        <v>28</v>
      </c>
      <c r="F120" s="158" t="s">
        <v>21</v>
      </c>
      <c r="G120" s="85">
        <v>45000</v>
      </c>
      <c r="H120" s="84">
        <v>12000</v>
      </c>
      <c r="I120" s="84">
        <f t="shared" si="109"/>
        <v>57000</v>
      </c>
      <c r="J120" s="84">
        <f t="shared" si="127"/>
        <v>1260000</v>
      </c>
      <c r="K120" s="84">
        <f t="shared" si="128"/>
        <v>336000</v>
      </c>
      <c r="L120" s="84">
        <f t="shared" si="129"/>
        <v>1596000</v>
      </c>
    </row>
    <row r="121" spans="1:12">
      <c r="A121" s="158">
        <f t="shared" si="151"/>
        <v>4</v>
      </c>
      <c r="B121" s="157" t="s">
        <v>60</v>
      </c>
      <c r="C121" s="81"/>
      <c r="D121" s="87"/>
      <c r="E121" s="191">
        <f>4*4</f>
        <v>16</v>
      </c>
      <c r="F121" s="158" t="s">
        <v>21</v>
      </c>
      <c r="G121" s="85">
        <v>25000</v>
      </c>
      <c r="H121" s="84">
        <v>8500</v>
      </c>
      <c r="I121" s="84">
        <f t="shared" si="109"/>
        <v>33500</v>
      </c>
      <c r="J121" s="84">
        <f t="shared" si="127"/>
        <v>400000</v>
      </c>
      <c r="K121" s="84">
        <f t="shared" si="128"/>
        <v>136000</v>
      </c>
      <c r="L121" s="84">
        <f t="shared" si="129"/>
        <v>536000</v>
      </c>
    </row>
    <row r="122" spans="1:12">
      <c r="A122" s="158">
        <f t="shared" si="151"/>
        <v>5</v>
      </c>
      <c r="B122" s="157" t="s">
        <v>124</v>
      </c>
      <c r="C122" s="81"/>
      <c r="D122" s="87"/>
      <c r="E122" s="191">
        <f>22</f>
        <v>22</v>
      </c>
      <c r="F122" s="158" t="s">
        <v>21</v>
      </c>
      <c r="G122" s="85">
        <v>72000</v>
      </c>
      <c r="H122" s="84">
        <v>22000</v>
      </c>
      <c r="I122" s="84">
        <f t="shared" si="109"/>
        <v>94000</v>
      </c>
      <c r="J122" s="84">
        <f t="shared" si="127"/>
        <v>1584000</v>
      </c>
      <c r="K122" s="84">
        <f t="shared" si="128"/>
        <v>484000</v>
      </c>
      <c r="L122" s="84">
        <f t="shared" si="129"/>
        <v>2068000</v>
      </c>
    </row>
    <row r="123" spans="1:12">
      <c r="A123" s="158">
        <f t="shared" si="151"/>
        <v>6</v>
      </c>
      <c r="B123" s="157" t="s">
        <v>115</v>
      </c>
      <c r="C123" s="81"/>
      <c r="D123" s="87"/>
      <c r="E123" s="191">
        <v>3</v>
      </c>
      <c r="F123" s="158" t="s">
        <v>24</v>
      </c>
      <c r="G123" s="85">
        <v>225000</v>
      </c>
      <c r="H123" s="84">
        <v>25000</v>
      </c>
      <c r="I123" s="84">
        <f t="shared" si="109"/>
        <v>250000</v>
      </c>
      <c r="J123" s="84">
        <f t="shared" si="127"/>
        <v>675000</v>
      </c>
      <c r="K123" s="84">
        <f t="shared" si="128"/>
        <v>75000</v>
      </c>
      <c r="L123" s="84">
        <f t="shared" si="129"/>
        <v>750000</v>
      </c>
    </row>
    <row r="124" spans="1:12">
      <c r="A124" s="158">
        <f t="shared" si="151"/>
        <v>7</v>
      </c>
      <c r="B124" s="157" t="s">
        <v>38</v>
      </c>
      <c r="C124" s="81"/>
      <c r="D124" s="87"/>
      <c r="E124" s="191">
        <v>1</v>
      </c>
      <c r="F124" s="158" t="s">
        <v>24</v>
      </c>
      <c r="G124" s="85">
        <v>435000</v>
      </c>
      <c r="H124" s="84">
        <v>25000</v>
      </c>
      <c r="I124" s="84">
        <f t="shared" si="109"/>
        <v>460000</v>
      </c>
      <c r="J124" s="84">
        <f t="shared" si="127"/>
        <v>435000</v>
      </c>
      <c r="K124" s="84">
        <f t="shared" si="128"/>
        <v>25000</v>
      </c>
      <c r="L124" s="84">
        <f t="shared" si="129"/>
        <v>460000</v>
      </c>
    </row>
    <row r="125" spans="1:12">
      <c r="A125" s="158">
        <f t="shared" si="151"/>
        <v>8</v>
      </c>
      <c r="B125" s="157" t="s">
        <v>146</v>
      </c>
      <c r="C125" s="81"/>
      <c r="D125" s="87"/>
      <c r="E125" s="191">
        <v>1</v>
      </c>
      <c r="F125" s="158" t="s">
        <v>24</v>
      </c>
      <c r="G125" s="85">
        <v>3250000</v>
      </c>
      <c r="H125" s="84">
        <v>175000</v>
      </c>
      <c r="I125" s="84">
        <f t="shared" si="109"/>
        <v>3425000</v>
      </c>
      <c r="J125" s="84">
        <f t="shared" si="127"/>
        <v>3250000</v>
      </c>
      <c r="K125" s="84">
        <f t="shared" si="128"/>
        <v>175000</v>
      </c>
      <c r="L125" s="84">
        <f t="shared" si="129"/>
        <v>3425000</v>
      </c>
    </row>
    <row r="126" spans="1:12">
      <c r="A126" s="158">
        <f t="shared" si="151"/>
        <v>9</v>
      </c>
      <c r="B126" s="157" t="s">
        <v>71</v>
      </c>
      <c r="C126" s="81"/>
      <c r="D126" s="87"/>
      <c r="E126" s="191">
        <v>1</v>
      </c>
      <c r="F126" s="158" t="s">
        <v>24</v>
      </c>
      <c r="G126" s="85">
        <v>650000</v>
      </c>
      <c r="H126" s="84">
        <v>75000</v>
      </c>
      <c r="I126" s="84">
        <f t="shared" si="109"/>
        <v>725000</v>
      </c>
      <c r="J126" s="84">
        <f t="shared" si="127"/>
        <v>650000</v>
      </c>
      <c r="K126" s="84">
        <f t="shared" si="128"/>
        <v>75000</v>
      </c>
      <c r="L126" s="84">
        <f t="shared" si="129"/>
        <v>725000</v>
      </c>
    </row>
    <row r="127" spans="1:12">
      <c r="A127" s="158">
        <f t="shared" si="151"/>
        <v>10</v>
      </c>
      <c r="B127" s="157" t="s">
        <v>17</v>
      </c>
      <c r="C127" s="81"/>
      <c r="D127" s="87"/>
      <c r="E127" s="191">
        <v>1</v>
      </c>
      <c r="F127" s="158" t="s">
        <v>24</v>
      </c>
      <c r="G127" s="85">
        <v>45000</v>
      </c>
      <c r="H127" s="84">
        <v>15000</v>
      </c>
      <c r="I127" s="84">
        <f t="shared" si="109"/>
        <v>60000</v>
      </c>
      <c r="J127" s="84">
        <f t="shared" si="127"/>
        <v>45000</v>
      </c>
      <c r="K127" s="84">
        <f t="shared" si="128"/>
        <v>15000</v>
      </c>
      <c r="L127" s="84">
        <f t="shared" si="129"/>
        <v>60000</v>
      </c>
    </row>
    <row r="128" spans="1:12">
      <c r="A128" s="158">
        <f t="shared" si="151"/>
        <v>11</v>
      </c>
      <c r="B128" s="157" t="s">
        <v>113</v>
      </c>
      <c r="C128" s="81"/>
      <c r="D128" s="87"/>
      <c r="E128" s="191">
        <v>2</v>
      </c>
      <c r="F128" s="158" t="s">
        <v>24</v>
      </c>
      <c r="G128" s="85">
        <v>125000</v>
      </c>
      <c r="H128" s="84">
        <v>12000</v>
      </c>
      <c r="I128" s="84">
        <f t="shared" si="109"/>
        <v>137000</v>
      </c>
      <c r="J128" s="84">
        <f t="shared" si="127"/>
        <v>250000</v>
      </c>
      <c r="K128" s="84">
        <f t="shared" si="128"/>
        <v>24000</v>
      </c>
      <c r="L128" s="84">
        <f t="shared" si="129"/>
        <v>274000</v>
      </c>
    </row>
    <row r="129" spans="1:12" ht="16.5" thickBot="1">
      <c r="A129" s="158">
        <f t="shared" si="151"/>
        <v>12</v>
      </c>
      <c r="B129" s="157" t="s">
        <v>114</v>
      </c>
      <c r="C129" s="81"/>
      <c r="D129" s="87"/>
      <c r="E129" s="194">
        <v>4</v>
      </c>
      <c r="F129" s="170" t="s">
        <v>24</v>
      </c>
      <c r="G129" s="125">
        <v>145000</v>
      </c>
      <c r="H129" s="126">
        <v>12000</v>
      </c>
      <c r="I129" s="126">
        <f t="shared" si="109"/>
        <v>157000</v>
      </c>
      <c r="J129" s="126">
        <f t="shared" si="127"/>
        <v>580000</v>
      </c>
      <c r="K129" s="126">
        <f t="shared" si="128"/>
        <v>48000</v>
      </c>
      <c r="L129" s="126">
        <f t="shared" si="129"/>
        <v>628000</v>
      </c>
    </row>
    <row r="130" spans="1:12" ht="16.5">
      <c r="A130" s="158"/>
      <c r="B130" s="157"/>
      <c r="C130" s="81"/>
      <c r="D130" s="87"/>
      <c r="E130" s="192"/>
      <c r="F130" s="162"/>
      <c r="G130" s="90"/>
      <c r="H130" s="88"/>
      <c r="I130" s="89"/>
      <c r="J130" s="89"/>
      <c r="K130" s="89"/>
      <c r="L130" s="89">
        <f>SUM(L118:L129)</f>
        <v>16570000</v>
      </c>
    </row>
    <row r="131" spans="1:12" ht="16.5">
      <c r="A131" s="158"/>
      <c r="B131" s="157"/>
      <c r="C131" s="81"/>
      <c r="D131" s="87"/>
      <c r="E131" s="192"/>
      <c r="F131" s="162"/>
      <c r="G131" s="90"/>
      <c r="H131" s="88"/>
      <c r="I131" s="89"/>
      <c r="J131" s="89"/>
      <c r="K131" s="89"/>
      <c r="L131" s="89"/>
    </row>
    <row r="132" spans="1:12" ht="16.5">
      <c r="A132" s="159" t="s">
        <v>55</v>
      </c>
      <c r="B132" s="156" t="s">
        <v>34</v>
      </c>
      <c r="C132" s="81"/>
      <c r="D132" s="87"/>
      <c r="E132" s="191"/>
      <c r="F132" s="158"/>
      <c r="G132" s="85"/>
      <c r="H132" s="84"/>
      <c r="I132" s="84"/>
      <c r="J132" s="84"/>
      <c r="K132" s="84"/>
      <c r="L132" s="84"/>
    </row>
    <row r="133" spans="1:12">
      <c r="A133" s="158">
        <v>1</v>
      </c>
      <c r="B133" s="157" t="s">
        <v>18</v>
      </c>
      <c r="C133" s="81"/>
      <c r="D133" s="87"/>
      <c r="E133" s="191">
        <v>35</v>
      </c>
      <c r="F133" s="158" t="s">
        <v>25</v>
      </c>
      <c r="G133" s="85">
        <v>215000</v>
      </c>
      <c r="H133" s="84">
        <v>55000</v>
      </c>
      <c r="I133" s="84">
        <f>H133+G133</f>
        <v>270000</v>
      </c>
      <c r="J133" s="84">
        <f>E133*G133</f>
        <v>7525000</v>
      </c>
      <c r="K133" s="84">
        <f t="shared" si="128"/>
        <v>1925000</v>
      </c>
      <c r="L133" s="84">
        <f t="shared" si="129"/>
        <v>9450000</v>
      </c>
    </row>
    <row r="134" spans="1:12">
      <c r="A134" s="158">
        <f t="shared" ref="A134:A149" si="152">A133+1</f>
        <v>2</v>
      </c>
      <c r="B134" s="157" t="s">
        <v>19</v>
      </c>
      <c r="C134" s="81"/>
      <c r="D134" s="87"/>
      <c r="E134" s="191">
        <v>10</v>
      </c>
      <c r="F134" s="158" t="s">
        <v>25</v>
      </c>
      <c r="G134" s="85">
        <v>245000</v>
      </c>
      <c r="H134" s="84">
        <v>55000</v>
      </c>
      <c r="I134" s="84">
        <f t="shared" si="109"/>
        <v>300000</v>
      </c>
      <c r="J134" s="84">
        <f t="shared" si="127"/>
        <v>2450000</v>
      </c>
      <c r="K134" s="84">
        <f t="shared" si="128"/>
        <v>550000</v>
      </c>
      <c r="L134" s="84">
        <f t="shared" si="129"/>
        <v>3000000</v>
      </c>
    </row>
    <row r="135" spans="1:12">
      <c r="A135" s="158">
        <f t="shared" si="152"/>
        <v>3</v>
      </c>
      <c r="B135" s="157" t="s">
        <v>20</v>
      </c>
      <c r="C135" s="81"/>
      <c r="D135" s="87"/>
      <c r="E135" s="191">
        <v>1</v>
      </c>
      <c r="F135" s="158" t="s">
        <v>25</v>
      </c>
      <c r="G135" s="85">
        <v>265000</v>
      </c>
      <c r="H135" s="84">
        <v>55000</v>
      </c>
      <c r="I135" s="84">
        <f t="shared" si="109"/>
        <v>320000</v>
      </c>
      <c r="J135" s="84">
        <f t="shared" si="127"/>
        <v>265000</v>
      </c>
      <c r="K135" s="84">
        <f t="shared" si="128"/>
        <v>55000</v>
      </c>
      <c r="L135" s="84">
        <f t="shared" si="129"/>
        <v>320000</v>
      </c>
    </row>
    <row r="136" spans="1:12">
      <c r="A136" s="158">
        <f t="shared" si="152"/>
        <v>4</v>
      </c>
      <c r="B136" s="157" t="s">
        <v>39</v>
      </c>
      <c r="C136" s="81"/>
      <c r="D136" s="87"/>
      <c r="E136" s="191">
        <v>25</v>
      </c>
      <c r="F136" s="158" t="s">
        <v>24</v>
      </c>
      <c r="G136" s="85">
        <v>115000</v>
      </c>
      <c r="H136" s="84">
        <v>25000</v>
      </c>
      <c r="I136" s="84">
        <f t="shared" si="109"/>
        <v>140000</v>
      </c>
      <c r="J136" s="84">
        <f t="shared" si="127"/>
        <v>2875000</v>
      </c>
      <c r="K136" s="84">
        <f t="shared" si="128"/>
        <v>625000</v>
      </c>
      <c r="L136" s="84">
        <f t="shared" si="129"/>
        <v>3500000</v>
      </c>
    </row>
    <row r="137" spans="1:12">
      <c r="A137" s="158">
        <f t="shared" si="152"/>
        <v>5</v>
      </c>
      <c r="B137" s="157" t="s">
        <v>61</v>
      </c>
      <c r="C137" s="81"/>
      <c r="D137" s="87"/>
      <c r="E137" s="191">
        <v>6</v>
      </c>
      <c r="F137" s="158" t="s">
        <v>24</v>
      </c>
      <c r="G137" s="85">
        <v>175000</v>
      </c>
      <c r="H137" s="84">
        <v>25000</v>
      </c>
      <c r="I137" s="84">
        <f t="shared" si="109"/>
        <v>200000</v>
      </c>
      <c r="J137" s="84">
        <f t="shared" si="127"/>
        <v>1050000</v>
      </c>
      <c r="K137" s="84">
        <f t="shared" si="128"/>
        <v>150000</v>
      </c>
      <c r="L137" s="84">
        <f t="shared" si="129"/>
        <v>1200000</v>
      </c>
    </row>
    <row r="138" spans="1:12">
      <c r="A138" s="158">
        <f t="shared" si="152"/>
        <v>6</v>
      </c>
      <c r="B138" s="157" t="s">
        <v>206</v>
      </c>
      <c r="C138" s="81"/>
      <c r="D138" s="87"/>
      <c r="E138" s="191">
        <v>18</v>
      </c>
      <c r="F138" s="158" t="s">
        <v>21</v>
      </c>
      <c r="G138" s="85">
        <v>75000</v>
      </c>
      <c r="H138" s="84">
        <v>15000</v>
      </c>
      <c r="I138" s="84">
        <f t="shared" si="109"/>
        <v>90000</v>
      </c>
      <c r="J138" s="84">
        <f t="shared" si="127"/>
        <v>1350000</v>
      </c>
      <c r="K138" s="84">
        <f t="shared" si="128"/>
        <v>270000</v>
      </c>
      <c r="L138" s="84">
        <f t="shared" si="129"/>
        <v>1620000</v>
      </c>
    </row>
    <row r="139" spans="1:12">
      <c r="A139" s="158">
        <f t="shared" si="152"/>
        <v>7</v>
      </c>
      <c r="B139" s="157" t="s">
        <v>144</v>
      </c>
      <c r="C139" s="81"/>
      <c r="D139" s="87"/>
      <c r="E139" s="191">
        <v>4</v>
      </c>
      <c r="F139" s="158" t="s">
        <v>24</v>
      </c>
      <c r="G139" s="85">
        <v>225000</v>
      </c>
      <c r="H139" s="84">
        <v>25000</v>
      </c>
      <c r="I139" s="84">
        <f t="shared" si="109"/>
        <v>250000</v>
      </c>
      <c r="J139" s="84">
        <f t="shared" si="127"/>
        <v>900000</v>
      </c>
      <c r="K139" s="84">
        <f t="shared" si="128"/>
        <v>100000</v>
      </c>
      <c r="L139" s="84">
        <f t="shared" si="129"/>
        <v>1000000</v>
      </c>
    </row>
    <row r="140" spans="1:12">
      <c r="A140" s="158">
        <f t="shared" si="152"/>
        <v>8</v>
      </c>
      <c r="B140" s="157" t="s">
        <v>69</v>
      </c>
      <c r="C140" s="81"/>
      <c r="D140" s="87"/>
      <c r="E140" s="191">
        <v>1</v>
      </c>
      <c r="F140" s="158" t="s">
        <v>32</v>
      </c>
      <c r="G140" s="85">
        <v>550000</v>
      </c>
      <c r="H140" s="84">
        <v>65000</v>
      </c>
      <c r="I140" s="84">
        <f t="shared" si="109"/>
        <v>615000</v>
      </c>
      <c r="J140" s="84">
        <f t="shared" si="127"/>
        <v>550000</v>
      </c>
      <c r="K140" s="84">
        <f t="shared" si="128"/>
        <v>65000</v>
      </c>
      <c r="L140" s="84">
        <f t="shared" si="129"/>
        <v>615000</v>
      </c>
    </row>
    <row r="141" spans="1:12">
      <c r="A141" s="158">
        <f t="shared" si="152"/>
        <v>9</v>
      </c>
      <c r="B141" s="157" t="s">
        <v>62</v>
      </c>
      <c r="C141" s="81"/>
      <c r="D141" s="87"/>
      <c r="E141" s="191">
        <v>1</v>
      </c>
      <c r="F141" s="158" t="s">
        <v>32</v>
      </c>
      <c r="G141" s="85">
        <v>325000</v>
      </c>
      <c r="H141" s="84">
        <v>150000</v>
      </c>
      <c r="I141" s="84">
        <f t="shared" si="109"/>
        <v>475000</v>
      </c>
      <c r="J141" s="84">
        <f t="shared" si="127"/>
        <v>325000</v>
      </c>
      <c r="K141" s="84">
        <f t="shared" si="128"/>
        <v>150000</v>
      </c>
      <c r="L141" s="84">
        <f t="shared" si="129"/>
        <v>475000</v>
      </c>
    </row>
    <row r="142" spans="1:12">
      <c r="A142" s="158">
        <f t="shared" si="152"/>
        <v>10</v>
      </c>
      <c r="B142" s="157" t="s">
        <v>125</v>
      </c>
      <c r="C142" s="81"/>
      <c r="D142" s="87"/>
      <c r="E142" s="191">
        <v>1</v>
      </c>
      <c r="F142" s="158" t="s">
        <v>64</v>
      </c>
      <c r="G142" s="85">
        <v>4750000</v>
      </c>
      <c r="H142" s="84">
        <v>345000</v>
      </c>
      <c r="I142" s="84">
        <f t="shared" si="109"/>
        <v>5095000</v>
      </c>
      <c r="J142" s="84">
        <f t="shared" si="127"/>
        <v>4750000</v>
      </c>
      <c r="K142" s="84">
        <f t="shared" si="128"/>
        <v>345000</v>
      </c>
      <c r="L142" s="84">
        <f t="shared" si="129"/>
        <v>5095000</v>
      </c>
    </row>
    <row r="143" spans="1:12">
      <c r="A143" s="158">
        <f t="shared" si="152"/>
        <v>11</v>
      </c>
      <c r="B143" s="157" t="s">
        <v>153</v>
      </c>
      <c r="C143" s="81"/>
      <c r="D143" s="87"/>
      <c r="E143" s="191">
        <v>12</v>
      </c>
      <c r="F143" s="158" t="s">
        <v>24</v>
      </c>
      <c r="G143" s="85">
        <v>125000</v>
      </c>
      <c r="H143" s="84">
        <v>20000</v>
      </c>
      <c r="I143" s="84">
        <f t="shared" si="109"/>
        <v>145000</v>
      </c>
      <c r="J143" s="84">
        <f t="shared" si="127"/>
        <v>1500000</v>
      </c>
      <c r="K143" s="84">
        <f t="shared" si="128"/>
        <v>240000</v>
      </c>
      <c r="L143" s="84">
        <f t="shared" si="129"/>
        <v>1740000</v>
      </c>
    </row>
    <row r="144" spans="1:12">
      <c r="A144" s="158">
        <f t="shared" si="152"/>
        <v>12</v>
      </c>
      <c r="B144" s="157" t="s">
        <v>56</v>
      </c>
      <c r="C144" s="81"/>
      <c r="D144" s="87"/>
      <c r="E144" s="191">
        <v>1</v>
      </c>
      <c r="F144" s="158" t="s">
        <v>24</v>
      </c>
      <c r="G144" s="85">
        <v>350000</v>
      </c>
      <c r="H144" s="84">
        <v>25000</v>
      </c>
      <c r="I144" s="84">
        <f t="shared" si="109"/>
        <v>375000</v>
      </c>
      <c r="J144" s="84">
        <f t="shared" si="127"/>
        <v>350000</v>
      </c>
      <c r="K144" s="84">
        <f t="shared" si="128"/>
        <v>25000</v>
      </c>
      <c r="L144" s="84">
        <f t="shared" si="129"/>
        <v>375000</v>
      </c>
    </row>
    <row r="145" spans="1:12">
      <c r="A145" s="158">
        <f t="shared" si="152"/>
        <v>13</v>
      </c>
      <c r="B145" s="157" t="s">
        <v>29</v>
      </c>
      <c r="C145" s="81"/>
      <c r="D145" s="87"/>
      <c r="E145" s="191">
        <v>10</v>
      </c>
      <c r="F145" s="158" t="s">
        <v>24</v>
      </c>
      <c r="G145" s="85">
        <v>35000</v>
      </c>
      <c r="H145" s="84">
        <v>10500</v>
      </c>
      <c r="I145" s="84">
        <f t="shared" si="109"/>
        <v>45500</v>
      </c>
      <c r="J145" s="84">
        <f t="shared" si="127"/>
        <v>350000</v>
      </c>
      <c r="K145" s="84">
        <f t="shared" si="128"/>
        <v>105000</v>
      </c>
      <c r="L145" s="84">
        <f t="shared" si="129"/>
        <v>455000</v>
      </c>
    </row>
    <row r="146" spans="1:12">
      <c r="A146" s="158">
        <f t="shared" si="152"/>
        <v>14</v>
      </c>
      <c r="B146" s="157" t="s">
        <v>30</v>
      </c>
      <c r="C146" s="81"/>
      <c r="D146" s="87"/>
      <c r="E146" s="191">
        <v>1</v>
      </c>
      <c r="F146" s="158" t="s">
        <v>24</v>
      </c>
      <c r="G146" s="85">
        <v>75000</v>
      </c>
      <c r="H146" s="84">
        <v>10500</v>
      </c>
      <c r="I146" s="84">
        <f t="shared" si="109"/>
        <v>85500</v>
      </c>
      <c r="J146" s="84">
        <f t="shared" si="127"/>
        <v>75000</v>
      </c>
      <c r="K146" s="84">
        <f t="shared" si="128"/>
        <v>10500</v>
      </c>
      <c r="L146" s="84">
        <f t="shared" si="129"/>
        <v>85500</v>
      </c>
    </row>
    <row r="147" spans="1:12">
      <c r="A147" s="158">
        <f t="shared" si="152"/>
        <v>15</v>
      </c>
      <c r="B147" s="157" t="s">
        <v>28</v>
      </c>
      <c r="C147" s="81"/>
      <c r="D147" s="87"/>
      <c r="E147" s="191">
        <v>8</v>
      </c>
      <c r="F147" s="158" t="s">
        <v>24</v>
      </c>
      <c r="G147" s="85">
        <v>35000</v>
      </c>
      <c r="H147" s="84">
        <v>10500</v>
      </c>
      <c r="I147" s="84">
        <f t="shared" si="109"/>
        <v>45500</v>
      </c>
      <c r="J147" s="84">
        <f t="shared" si="127"/>
        <v>280000</v>
      </c>
      <c r="K147" s="84">
        <f t="shared" si="128"/>
        <v>84000</v>
      </c>
      <c r="L147" s="84">
        <f t="shared" si="129"/>
        <v>364000</v>
      </c>
    </row>
    <row r="148" spans="1:12">
      <c r="A148" s="158">
        <f t="shared" si="152"/>
        <v>16</v>
      </c>
      <c r="B148" s="157" t="s">
        <v>68</v>
      </c>
      <c r="C148" s="81"/>
      <c r="D148" s="87"/>
      <c r="E148" s="191">
        <v>1</v>
      </c>
      <c r="F148" s="158" t="s">
        <v>25</v>
      </c>
      <c r="G148" s="85">
        <v>245000</v>
      </c>
      <c r="H148" s="84">
        <v>45000</v>
      </c>
      <c r="I148" s="84">
        <f t="shared" si="109"/>
        <v>290000</v>
      </c>
      <c r="J148" s="84">
        <f t="shared" si="127"/>
        <v>245000</v>
      </c>
      <c r="K148" s="84">
        <f t="shared" si="128"/>
        <v>45000</v>
      </c>
      <c r="L148" s="84">
        <f t="shared" si="129"/>
        <v>290000</v>
      </c>
    </row>
    <row r="149" spans="1:12" ht="16.5" thickBot="1">
      <c r="A149" s="158">
        <f t="shared" si="152"/>
        <v>17</v>
      </c>
      <c r="B149" s="157" t="s">
        <v>51</v>
      </c>
      <c r="C149" s="81"/>
      <c r="D149" s="87"/>
      <c r="E149" s="194">
        <v>2</v>
      </c>
      <c r="F149" s="170" t="s">
        <v>25</v>
      </c>
      <c r="G149" s="125">
        <f>300000</f>
        <v>300000</v>
      </c>
      <c r="H149" s="126">
        <v>45000</v>
      </c>
      <c r="I149" s="126">
        <f t="shared" si="109"/>
        <v>345000</v>
      </c>
      <c r="J149" s="126">
        <f t="shared" si="127"/>
        <v>600000</v>
      </c>
      <c r="K149" s="126">
        <f t="shared" si="128"/>
        <v>90000</v>
      </c>
      <c r="L149" s="126">
        <f t="shared" si="129"/>
        <v>690000</v>
      </c>
    </row>
    <row r="150" spans="1:12" ht="16.5">
      <c r="A150" s="158"/>
      <c r="B150" s="157"/>
      <c r="C150" s="81"/>
      <c r="D150" s="87"/>
      <c r="E150" s="192"/>
      <c r="F150" s="162"/>
      <c r="G150" s="90"/>
      <c r="H150" s="88"/>
      <c r="I150" s="89"/>
      <c r="J150" s="89"/>
      <c r="K150" s="89"/>
      <c r="L150" s="89">
        <f>SUM(L133:L149)</f>
        <v>30274500</v>
      </c>
    </row>
    <row r="151" spans="1:12">
      <c r="A151" s="158"/>
      <c r="B151" s="157"/>
      <c r="C151" s="81"/>
      <c r="D151" s="87"/>
      <c r="E151" s="191"/>
      <c r="F151" s="158"/>
      <c r="G151" s="85"/>
      <c r="H151" s="84"/>
      <c r="I151" s="84"/>
      <c r="J151" s="84"/>
      <c r="K151" s="84"/>
      <c r="L151" s="84"/>
    </row>
    <row r="152" spans="1:12" ht="18.75">
      <c r="A152" s="113" t="s">
        <v>4</v>
      </c>
      <c r="B152" s="114" t="s">
        <v>117</v>
      </c>
      <c r="C152" s="81"/>
      <c r="D152" s="87"/>
      <c r="E152" s="191"/>
      <c r="F152" s="158"/>
      <c r="G152" s="85"/>
      <c r="H152" s="84"/>
      <c r="I152" s="84"/>
      <c r="J152" s="84"/>
      <c r="K152" s="84"/>
      <c r="L152" s="84"/>
    </row>
    <row r="153" spans="1:12" ht="16.5">
      <c r="A153" s="159" t="s">
        <v>2</v>
      </c>
      <c r="B153" s="156" t="s">
        <v>9</v>
      </c>
      <c r="C153" s="81"/>
      <c r="D153" s="87"/>
      <c r="E153" s="191"/>
      <c r="F153" s="158"/>
      <c r="G153" s="85"/>
      <c r="H153" s="84"/>
      <c r="I153" s="84"/>
      <c r="J153" s="84"/>
      <c r="K153" s="84"/>
      <c r="L153" s="84"/>
    </row>
    <row r="154" spans="1:12">
      <c r="A154" s="176">
        <v>1</v>
      </c>
      <c r="B154" s="157" t="s">
        <v>210</v>
      </c>
      <c r="C154" s="81"/>
      <c r="D154" s="87"/>
      <c r="E154" s="191">
        <f>42*0.2*0.4</f>
        <v>3.3600000000000003</v>
      </c>
      <c r="F154" s="158" t="s">
        <v>23</v>
      </c>
      <c r="G154" s="85">
        <f>3850000</f>
        <v>3850000</v>
      </c>
      <c r="H154" s="84">
        <v>750000</v>
      </c>
      <c r="I154" s="84">
        <f t="shared" ref="I154:I165" si="153">H154+G154</f>
        <v>4600000</v>
      </c>
      <c r="J154" s="84">
        <f t="shared" ref="J154:J165" si="154">E154*G154</f>
        <v>12936000.000000002</v>
      </c>
      <c r="K154" s="84">
        <f t="shared" ref="K154:K165" si="155">E154*H154</f>
        <v>2520000.0000000005</v>
      </c>
      <c r="L154" s="84">
        <f t="shared" ref="L154:L165" si="156">K154+J154</f>
        <v>15456000.000000002</v>
      </c>
    </row>
    <row r="155" spans="1:12">
      <c r="A155" s="176">
        <f>A154+1</f>
        <v>2</v>
      </c>
      <c r="B155" s="157" t="s">
        <v>208</v>
      </c>
      <c r="C155" s="81"/>
      <c r="D155" s="87"/>
      <c r="E155" s="191">
        <f>46*0.15*0.4</f>
        <v>2.76</v>
      </c>
      <c r="F155" s="158" t="s">
        <v>23</v>
      </c>
      <c r="G155" s="85">
        <f t="shared" ref="G155" si="157">3850000</f>
        <v>3850000</v>
      </c>
      <c r="H155" s="84">
        <v>750000</v>
      </c>
      <c r="I155" s="84">
        <f t="shared" si="153"/>
        <v>4600000</v>
      </c>
      <c r="J155" s="84">
        <f t="shared" si="154"/>
        <v>10626000</v>
      </c>
      <c r="K155" s="84">
        <f t="shared" si="155"/>
        <v>2069999.9999999998</v>
      </c>
      <c r="L155" s="84">
        <f t="shared" si="156"/>
        <v>12696000</v>
      </c>
    </row>
    <row r="156" spans="1:12">
      <c r="A156" s="176">
        <f t="shared" ref="A156:A165" si="158">A155+1</f>
        <v>3</v>
      </c>
      <c r="B156" s="157" t="s">
        <v>209</v>
      </c>
      <c r="C156" s="81"/>
      <c r="D156" s="87"/>
      <c r="E156" s="191">
        <f>37*0.15*0.35</f>
        <v>1.9424999999999999</v>
      </c>
      <c r="F156" s="158" t="s">
        <v>23</v>
      </c>
      <c r="G156" s="85">
        <f>3850000</f>
        <v>3850000</v>
      </c>
      <c r="H156" s="84">
        <v>750000</v>
      </c>
      <c r="I156" s="84">
        <f t="shared" si="153"/>
        <v>4600000</v>
      </c>
      <c r="J156" s="84">
        <f t="shared" si="154"/>
        <v>7478625</v>
      </c>
      <c r="K156" s="84">
        <f t="shared" si="155"/>
        <v>1456875</v>
      </c>
      <c r="L156" s="84">
        <f t="shared" si="156"/>
        <v>8935500</v>
      </c>
    </row>
    <row r="157" spans="1:12">
      <c r="A157" s="176">
        <f t="shared" si="158"/>
        <v>4</v>
      </c>
      <c r="B157" s="157" t="s">
        <v>87</v>
      </c>
      <c r="C157" s="81"/>
      <c r="D157" s="145"/>
      <c r="E157" s="191">
        <f>98*0.12</f>
        <v>11.76</v>
      </c>
      <c r="F157" s="158" t="s">
        <v>23</v>
      </c>
      <c r="G157" s="85">
        <v>3100000</v>
      </c>
      <c r="H157" s="84">
        <v>550000</v>
      </c>
      <c r="I157" s="84">
        <f t="shared" si="153"/>
        <v>3650000</v>
      </c>
      <c r="J157" s="84">
        <f t="shared" si="154"/>
        <v>36456000</v>
      </c>
      <c r="K157" s="84">
        <f t="shared" si="155"/>
        <v>6468000</v>
      </c>
      <c r="L157" s="84">
        <f t="shared" si="156"/>
        <v>42924000</v>
      </c>
    </row>
    <row r="158" spans="1:12">
      <c r="A158" s="176">
        <f t="shared" si="158"/>
        <v>5</v>
      </c>
      <c r="B158" s="157" t="s">
        <v>184</v>
      </c>
      <c r="C158" s="81"/>
      <c r="D158" s="87"/>
      <c r="E158" s="191">
        <f>(0.25*0.5*4)*6</f>
        <v>3</v>
      </c>
      <c r="F158" s="158" t="s">
        <v>23</v>
      </c>
      <c r="G158" s="85">
        <v>3750000</v>
      </c>
      <c r="H158" s="84">
        <v>650000</v>
      </c>
      <c r="I158" s="84">
        <f t="shared" si="153"/>
        <v>4400000</v>
      </c>
      <c r="J158" s="84">
        <f t="shared" si="154"/>
        <v>11250000</v>
      </c>
      <c r="K158" s="84">
        <f t="shared" si="155"/>
        <v>1950000</v>
      </c>
      <c r="L158" s="84">
        <f t="shared" si="156"/>
        <v>13200000</v>
      </c>
    </row>
    <row r="159" spans="1:12">
      <c r="A159" s="176">
        <f t="shared" si="158"/>
        <v>6</v>
      </c>
      <c r="B159" s="157" t="s">
        <v>185</v>
      </c>
      <c r="C159" s="81"/>
      <c r="D159" s="87"/>
      <c r="E159" s="191">
        <f>(0.15*0.5*4)*3</f>
        <v>0.89999999999999991</v>
      </c>
      <c r="F159" s="158" t="s">
        <v>23</v>
      </c>
      <c r="G159" s="85">
        <v>3750000</v>
      </c>
      <c r="H159" s="84">
        <v>650000</v>
      </c>
      <c r="I159" s="84">
        <f t="shared" si="153"/>
        <v>4400000</v>
      </c>
      <c r="J159" s="84">
        <f t="shared" si="154"/>
        <v>3374999.9999999995</v>
      </c>
      <c r="K159" s="84">
        <f t="shared" si="155"/>
        <v>585000</v>
      </c>
      <c r="L159" s="84">
        <f t="shared" si="156"/>
        <v>3959999.9999999995</v>
      </c>
    </row>
    <row r="160" spans="1:12">
      <c r="A160" s="176">
        <f t="shared" si="158"/>
        <v>7</v>
      </c>
      <c r="B160" s="157" t="s">
        <v>186</v>
      </c>
      <c r="C160" s="81"/>
      <c r="D160" s="87"/>
      <c r="E160" s="191">
        <f>(0.15*0.45*4)*4</f>
        <v>1.08</v>
      </c>
      <c r="F160" s="158" t="s">
        <v>23</v>
      </c>
      <c r="G160" s="85">
        <v>3750000</v>
      </c>
      <c r="H160" s="84">
        <v>650000</v>
      </c>
      <c r="I160" s="84">
        <f t="shared" si="153"/>
        <v>4400000</v>
      </c>
      <c r="J160" s="84">
        <f t="shared" si="154"/>
        <v>4050000.0000000005</v>
      </c>
      <c r="K160" s="84">
        <f t="shared" si="155"/>
        <v>702000</v>
      </c>
      <c r="L160" s="84">
        <f t="shared" si="156"/>
        <v>4752000</v>
      </c>
    </row>
    <row r="161" spans="1:12">
      <c r="A161" s="176">
        <f t="shared" si="158"/>
        <v>8</v>
      </c>
      <c r="B161" s="157" t="s">
        <v>187</v>
      </c>
      <c r="C161" s="81"/>
      <c r="D161" s="87"/>
      <c r="E161" s="191">
        <f>(0.3*0.3*4)*2</f>
        <v>0.72</v>
      </c>
      <c r="F161" s="158" t="s">
        <v>23</v>
      </c>
      <c r="G161" s="85">
        <v>3750000</v>
      </c>
      <c r="H161" s="84">
        <v>650000</v>
      </c>
      <c r="I161" s="84">
        <f t="shared" si="153"/>
        <v>4400000</v>
      </c>
      <c r="J161" s="84">
        <f t="shared" si="154"/>
        <v>2700000</v>
      </c>
      <c r="K161" s="84">
        <f t="shared" si="155"/>
        <v>468000</v>
      </c>
      <c r="L161" s="84">
        <f t="shared" si="156"/>
        <v>3168000</v>
      </c>
    </row>
    <row r="162" spans="1:12">
      <c r="A162" s="176">
        <f t="shared" si="158"/>
        <v>9</v>
      </c>
      <c r="B162" s="157" t="s">
        <v>188</v>
      </c>
      <c r="C162" s="81"/>
      <c r="D162" s="87"/>
      <c r="E162" s="191">
        <f>(0.15*0.35*4)*2</f>
        <v>0.42</v>
      </c>
      <c r="F162" s="158" t="s">
        <v>23</v>
      </c>
      <c r="G162" s="85">
        <v>3750000</v>
      </c>
      <c r="H162" s="84">
        <v>650000</v>
      </c>
      <c r="I162" s="84">
        <f t="shared" si="153"/>
        <v>4400000</v>
      </c>
      <c r="J162" s="84">
        <f t="shared" si="154"/>
        <v>1575000</v>
      </c>
      <c r="K162" s="84">
        <f t="shared" si="155"/>
        <v>273000</v>
      </c>
      <c r="L162" s="84">
        <f t="shared" si="156"/>
        <v>1848000</v>
      </c>
    </row>
    <row r="163" spans="1:12">
      <c r="A163" s="176">
        <f t="shared" si="158"/>
        <v>10</v>
      </c>
      <c r="B163" s="157" t="s">
        <v>159</v>
      </c>
      <c r="C163" s="81"/>
      <c r="D163" s="87"/>
      <c r="E163" s="191">
        <f>8*4</f>
        <v>32</v>
      </c>
      <c r="F163" s="158" t="s">
        <v>21</v>
      </c>
      <c r="G163" s="85">
        <v>85000</v>
      </c>
      <c r="H163" s="84">
        <v>25000</v>
      </c>
      <c r="I163" s="84">
        <f t="shared" si="153"/>
        <v>110000</v>
      </c>
      <c r="J163" s="84">
        <f t="shared" si="154"/>
        <v>2720000</v>
      </c>
      <c r="K163" s="84">
        <f t="shared" si="155"/>
        <v>800000</v>
      </c>
      <c r="L163" s="84">
        <f t="shared" si="156"/>
        <v>3520000</v>
      </c>
    </row>
    <row r="164" spans="1:12">
      <c r="A164" s="176">
        <f t="shared" si="158"/>
        <v>11</v>
      </c>
      <c r="B164" s="157" t="s">
        <v>167</v>
      </c>
      <c r="C164" s="81"/>
      <c r="D164" s="87"/>
      <c r="E164" s="191">
        <f>12*2.25</f>
        <v>27</v>
      </c>
      <c r="F164" s="158" t="s">
        <v>21</v>
      </c>
      <c r="G164" s="85">
        <v>85000</v>
      </c>
      <c r="H164" s="84">
        <v>25000</v>
      </c>
      <c r="I164" s="84">
        <f t="shared" si="153"/>
        <v>110000</v>
      </c>
      <c r="J164" s="84">
        <f t="shared" si="154"/>
        <v>2295000</v>
      </c>
      <c r="K164" s="84">
        <f t="shared" si="155"/>
        <v>675000</v>
      </c>
      <c r="L164" s="84">
        <f t="shared" si="156"/>
        <v>2970000</v>
      </c>
    </row>
    <row r="165" spans="1:12" ht="16.5" thickBot="1">
      <c r="A165" s="176">
        <f t="shared" si="158"/>
        <v>12</v>
      </c>
      <c r="B165" s="157" t="s">
        <v>31</v>
      </c>
      <c r="C165" s="81"/>
      <c r="D165" s="87"/>
      <c r="E165" s="194">
        <f>(((0.1*9*1.15)+(0.18*1.15*18)))*1</f>
        <v>4.7610000000000001</v>
      </c>
      <c r="F165" s="170" t="s">
        <v>23</v>
      </c>
      <c r="G165" s="125">
        <v>3350000</v>
      </c>
      <c r="H165" s="126">
        <v>650000</v>
      </c>
      <c r="I165" s="126">
        <f t="shared" si="153"/>
        <v>4000000</v>
      </c>
      <c r="J165" s="126">
        <f t="shared" si="154"/>
        <v>15949350</v>
      </c>
      <c r="K165" s="126">
        <f t="shared" si="155"/>
        <v>3094650</v>
      </c>
      <c r="L165" s="126">
        <f t="shared" si="156"/>
        <v>19044000</v>
      </c>
    </row>
    <row r="166" spans="1:12" ht="16.5">
      <c r="A166" s="158"/>
      <c r="B166" s="157"/>
      <c r="C166" s="81"/>
      <c r="D166" s="87"/>
      <c r="E166" s="192"/>
      <c r="F166" s="162"/>
      <c r="G166" s="90"/>
      <c r="H166" s="88"/>
      <c r="I166" s="89"/>
      <c r="J166" s="89"/>
      <c r="K166" s="89"/>
      <c r="L166" s="89">
        <f>SUM(L154:L165)</f>
        <v>132473500</v>
      </c>
    </row>
    <row r="167" spans="1:12" ht="16.5">
      <c r="A167" s="158"/>
      <c r="B167" s="157"/>
      <c r="C167" s="81"/>
      <c r="D167" s="87"/>
      <c r="E167" s="192"/>
      <c r="F167" s="162"/>
      <c r="G167" s="90"/>
      <c r="H167" s="88"/>
      <c r="I167" s="89"/>
      <c r="J167" s="89"/>
      <c r="K167" s="89"/>
      <c r="L167" s="89"/>
    </row>
    <row r="168" spans="1:12" ht="16.5">
      <c r="A168" s="159" t="s">
        <v>4</v>
      </c>
      <c r="B168" s="156" t="s">
        <v>89</v>
      </c>
      <c r="C168" s="81"/>
      <c r="D168" s="87"/>
      <c r="E168" s="191"/>
      <c r="F168" s="158"/>
      <c r="G168" s="85"/>
      <c r="H168" s="84"/>
      <c r="I168" s="84"/>
      <c r="J168" s="84"/>
      <c r="K168" s="84"/>
      <c r="L168" s="84"/>
    </row>
    <row r="169" spans="1:12">
      <c r="A169" s="158">
        <v>1</v>
      </c>
      <c r="B169" s="157" t="s">
        <v>134</v>
      </c>
      <c r="C169" s="81"/>
      <c r="D169" s="87"/>
      <c r="E169" s="191">
        <f>(75*3.45)-(12*2.25)</f>
        <v>231.75</v>
      </c>
      <c r="F169" s="158" t="s">
        <v>22</v>
      </c>
      <c r="G169" s="85">
        <f>92500</f>
        <v>92500</v>
      </c>
      <c r="H169" s="84">
        <v>48000</v>
      </c>
      <c r="I169" s="84">
        <f t="shared" ref="I169:I181" si="159">H169+G169</f>
        <v>140500</v>
      </c>
      <c r="J169" s="84">
        <f t="shared" ref="J169:J181" si="160">E169*G169</f>
        <v>21436875</v>
      </c>
      <c r="K169" s="84">
        <f t="shared" ref="K169:K181" si="161">E169*H169</f>
        <v>11124000</v>
      </c>
      <c r="L169" s="84">
        <f t="shared" ref="L169:L181" si="162">K169+J169</f>
        <v>32560875</v>
      </c>
    </row>
    <row r="170" spans="1:12">
      <c r="A170" s="158">
        <f>A169+1</f>
        <v>2</v>
      </c>
      <c r="B170" s="157" t="s">
        <v>135</v>
      </c>
      <c r="C170" s="81"/>
      <c r="D170" s="87"/>
      <c r="E170" s="191">
        <f>((75*3.45)-(12*2.25))*1.85</f>
        <v>428.73750000000001</v>
      </c>
      <c r="F170" s="158" t="s">
        <v>22</v>
      </c>
      <c r="G170" s="85">
        <v>30000</v>
      </c>
      <c r="H170" s="84">
        <v>27000</v>
      </c>
      <c r="I170" s="84">
        <f t="shared" si="159"/>
        <v>57000</v>
      </c>
      <c r="J170" s="84">
        <f t="shared" si="160"/>
        <v>12862125</v>
      </c>
      <c r="K170" s="84">
        <f t="shared" si="161"/>
        <v>11575912.5</v>
      </c>
      <c r="L170" s="84">
        <f t="shared" si="162"/>
        <v>24438037.5</v>
      </c>
    </row>
    <row r="171" spans="1:12">
      <c r="A171" s="158">
        <f t="shared" ref="A171:A181" si="163">A170+1</f>
        <v>3</v>
      </c>
      <c r="B171" s="157" t="s">
        <v>27</v>
      </c>
      <c r="C171" s="81"/>
      <c r="D171" s="87"/>
      <c r="E171" s="191">
        <f>((75*3.45)-(12*2.25))*1.85</f>
        <v>428.73750000000001</v>
      </c>
      <c r="F171" s="158" t="s">
        <v>22</v>
      </c>
      <c r="G171" s="85">
        <v>20000</v>
      </c>
      <c r="H171" s="84">
        <v>16000</v>
      </c>
      <c r="I171" s="84">
        <f t="shared" si="159"/>
        <v>36000</v>
      </c>
      <c r="J171" s="84">
        <f t="shared" si="160"/>
        <v>8574750</v>
      </c>
      <c r="K171" s="84">
        <f t="shared" si="161"/>
        <v>6859800</v>
      </c>
      <c r="L171" s="84">
        <f t="shared" si="162"/>
        <v>15434550</v>
      </c>
    </row>
    <row r="172" spans="1:12">
      <c r="A172" s="158">
        <f t="shared" si="163"/>
        <v>4</v>
      </c>
      <c r="B172" s="157" t="s">
        <v>102</v>
      </c>
      <c r="C172" s="81"/>
      <c r="D172" s="87"/>
      <c r="E172" s="191">
        <f>E171*0.75</f>
        <v>321.55312500000002</v>
      </c>
      <c r="F172" s="158" t="s">
        <v>21</v>
      </c>
      <c r="G172" s="85">
        <v>4000</v>
      </c>
      <c r="H172" s="84">
        <v>6000</v>
      </c>
      <c r="I172" s="84">
        <f t="shared" si="159"/>
        <v>10000</v>
      </c>
      <c r="J172" s="84">
        <f t="shared" si="160"/>
        <v>1286212.5</v>
      </c>
      <c r="K172" s="84">
        <f t="shared" si="161"/>
        <v>1929318.7500000002</v>
      </c>
      <c r="L172" s="84">
        <f t="shared" si="162"/>
        <v>3215531.25</v>
      </c>
    </row>
    <row r="173" spans="1:12">
      <c r="A173" s="176">
        <f t="shared" si="163"/>
        <v>5</v>
      </c>
      <c r="B173" s="157" t="s">
        <v>161</v>
      </c>
      <c r="C173" s="81"/>
      <c r="D173" s="87"/>
      <c r="E173" s="191">
        <f>((18*3.1)-((2.4*0.72)*2))</f>
        <v>52.344000000000001</v>
      </c>
      <c r="F173" s="158" t="s">
        <v>22</v>
      </c>
      <c r="G173" s="85">
        <v>215000</v>
      </c>
      <c r="H173" s="84">
        <v>75000</v>
      </c>
      <c r="I173" s="84">
        <f t="shared" si="159"/>
        <v>290000</v>
      </c>
      <c r="J173" s="84">
        <f t="shared" si="160"/>
        <v>11253960</v>
      </c>
      <c r="K173" s="84">
        <f t="shared" si="161"/>
        <v>3925800</v>
      </c>
      <c r="L173" s="84">
        <f t="shared" si="162"/>
        <v>15179760</v>
      </c>
    </row>
    <row r="174" spans="1:12">
      <c r="A174" s="176">
        <f t="shared" si="163"/>
        <v>6</v>
      </c>
      <c r="B174" s="157" t="s">
        <v>162</v>
      </c>
      <c r="C174" s="81"/>
      <c r="D174" s="87"/>
      <c r="E174" s="191">
        <f>11</f>
        <v>11</v>
      </c>
      <c r="F174" s="158" t="s">
        <v>22</v>
      </c>
      <c r="G174" s="85">
        <v>215000</v>
      </c>
      <c r="H174" s="84">
        <v>65000</v>
      </c>
      <c r="I174" s="84">
        <f t="shared" si="159"/>
        <v>280000</v>
      </c>
      <c r="J174" s="84">
        <f t="shared" si="160"/>
        <v>2365000</v>
      </c>
      <c r="K174" s="84">
        <f t="shared" si="161"/>
        <v>715000</v>
      </c>
      <c r="L174" s="84">
        <f t="shared" si="162"/>
        <v>3080000</v>
      </c>
    </row>
    <row r="175" spans="1:12">
      <c r="A175" s="176">
        <f t="shared" si="163"/>
        <v>7</v>
      </c>
      <c r="B175" s="157" t="s">
        <v>169</v>
      </c>
      <c r="C175" s="81"/>
      <c r="D175" s="87"/>
      <c r="E175" s="191">
        <f>23</f>
        <v>23</v>
      </c>
      <c r="F175" s="158" t="s">
        <v>22</v>
      </c>
      <c r="G175" s="85">
        <v>215000</v>
      </c>
      <c r="H175" s="84">
        <v>65000</v>
      </c>
      <c r="I175" s="84">
        <f t="shared" si="159"/>
        <v>280000</v>
      </c>
      <c r="J175" s="84">
        <f t="shared" si="160"/>
        <v>4945000</v>
      </c>
      <c r="K175" s="84">
        <f t="shared" si="161"/>
        <v>1495000</v>
      </c>
      <c r="L175" s="84">
        <f t="shared" si="162"/>
        <v>6440000</v>
      </c>
    </row>
    <row r="176" spans="1:12">
      <c r="A176" s="176">
        <f t="shared" si="163"/>
        <v>8</v>
      </c>
      <c r="B176" s="157" t="s">
        <v>170</v>
      </c>
      <c r="C176" s="81"/>
      <c r="D176" s="87"/>
      <c r="E176" s="191">
        <f>28</f>
        <v>28</v>
      </c>
      <c r="F176" s="158" t="s">
        <v>22</v>
      </c>
      <c r="G176" s="85">
        <v>215000</v>
      </c>
      <c r="H176" s="84">
        <v>65000</v>
      </c>
      <c r="I176" s="84">
        <f t="shared" si="159"/>
        <v>280000</v>
      </c>
      <c r="J176" s="84">
        <f t="shared" si="160"/>
        <v>6020000</v>
      </c>
      <c r="K176" s="84">
        <f t="shared" si="161"/>
        <v>1820000</v>
      </c>
      <c r="L176" s="84">
        <f t="shared" si="162"/>
        <v>7840000</v>
      </c>
    </row>
    <row r="177" spans="1:12">
      <c r="A177" s="176">
        <f t="shared" si="163"/>
        <v>9</v>
      </c>
      <c r="B177" s="157" t="s">
        <v>211</v>
      </c>
      <c r="C177" s="81"/>
      <c r="D177" s="87"/>
      <c r="E177" s="191">
        <v>19</v>
      </c>
      <c r="F177" s="158" t="s">
        <v>22</v>
      </c>
      <c r="G177" s="85">
        <v>215000</v>
      </c>
      <c r="H177" s="84">
        <v>65000</v>
      </c>
      <c r="I177" s="84">
        <f t="shared" si="159"/>
        <v>280000</v>
      </c>
      <c r="J177" s="84">
        <f t="shared" si="160"/>
        <v>4085000</v>
      </c>
      <c r="K177" s="84">
        <f t="shared" si="161"/>
        <v>1235000</v>
      </c>
      <c r="L177" s="84">
        <f t="shared" si="162"/>
        <v>5320000</v>
      </c>
    </row>
    <row r="178" spans="1:12">
      <c r="A178" s="176">
        <f t="shared" si="163"/>
        <v>10</v>
      </c>
      <c r="B178" s="157" t="s">
        <v>212</v>
      </c>
      <c r="C178" s="81"/>
      <c r="D178" s="87"/>
      <c r="E178" s="191">
        <v>8</v>
      </c>
      <c r="F178" s="158" t="s">
        <v>22</v>
      </c>
      <c r="G178" s="85">
        <v>215000</v>
      </c>
      <c r="H178" s="84">
        <v>65000</v>
      </c>
      <c r="I178" s="84">
        <f t="shared" si="159"/>
        <v>280000</v>
      </c>
      <c r="J178" s="84">
        <f t="shared" si="160"/>
        <v>1720000</v>
      </c>
      <c r="K178" s="84">
        <f t="shared" si="161"/>
        <v>520000</v>
      </c>
      <c r="L178" s="84">
        <f t="shared" si="162"/>
        <v>2240000</v>
      </c>
    </row>
    <row r="179" spans="1:12">
      <c r="A179" s="176">
        <f t="shared" si="163"/>
        <v>11</v>
      </c>
      <c r="B179" s="157" t="s">
        <v>139</v>
      </c>
      <c r="C179" s="81"/>
      <c r="D179" s="87"/>
      <c r="E179" s="191">
        <f>1.2*18</f>
        <v>21.599999999999998</v>
      </c>
      <c r="F179" s="158" t="s">
        <v>21</v>
      </c>
      <c r="G179" s="85">
        <v>325000</v>
      </c>
      <c r="H179" s="84">
        <v>85000</v>
      </c>
      <c r="I179" s="84">
        <f t="shared" si="159"/>
        <v>410000</v>
      </c>
      <c r="J179" s="84">
        <f t="shared" si="160"/>
        <v>7019999.9999999991</v>
      </c>
      <c r="K179" s="84">
        <f t="shared" si="161"/>
        <v>1835999.9999999998</v>
      </c>
      <c r="L179" s="84">
        <f t="shared" si="162"/>
        <v>8855999.9999999981</v>
      </c>
    </row>
    <row r="180" spans="1:12">
      <c r="A180" s="176">
        <f t="shared" si="163"/>
        <v>12</v>
      </c>
      <c r="B180" s="157" t="s">
        <v>140</v>
      </c>
      <c r="C180" s="81"/>
      <c r="D180" s="87"/>
      <c r="E180" s="191">
        <f>1.2*18</f>
        <v>21.599999999999998</v>
      </c>
      <c r="F180" s="158" t="s">
        <v>21</v>
      </c>
      <c r="G180" s="85">
        <v>65000</v>
      </c>
      <c r="H180" s="84">
        <v>25000</v>
      </c>
      <c r="I180" s="84">
        <f t="shared" si="159"/>
        <v>90000</v>
      </c>
      <c r="J180" s="84">
        <f t="shared" si="160"/>
        <v>1403999.9999999998</v>
      </c>
      <c r="K180" s="84">
        <f t="shared" si="161"/>
        <v>540000</v>
      </c>
      <c r="L180" s="84">
        <f t="shared" si="162"/>
        <v>1943999.9999999998</v>
      </c>
    </row>
    <row r="181" spans="1:12">
      <c r="A181" s="158">
        <f t="shared" si="163"/>
        <v>13</v>
      </c>
      <c r="B181" s="157" t="s">
        <v>141</v>
      </c>
      <c r="C181" s="81"/>
      <c r="D181" s="87"/>
      <c r="E181" s="191">
        <f>E177+E175+E176+E178</f>
        <v>78</v>
      </c>
      <c r="F181" s="158" t="s">
        <v>21</v>
      </c>
      <c r="G181" s="85">
        <v>55000</v>
      </c>
      <c r="H181" s="84">
        <v>15000</v>
      </c>
      <c r="I181" s="84">
        <f t="shared" si="159"/>
        <v>70000</v>
      </c>
      <c r="J181" s="84">
        <f t="shared" si="160"/>
        <v>4290000</v>
      </c>
      <c r="K181" s="84">
        <f t="shared" si="161"/>
        <v>1170000</v>
      </c>
      <c r="L181" s="84">
        <f t="shared" si="162"/>
        <v>5460000</v>
      </c>
    </row>
    <row r="182" spans="1:12" ht="16.5" thickBot="1">
      <c r="A182" s="188">
        <v>15</v>
      </c>
      <c r="B182" s="187" t="s">
        <v>229</v>
      </c>
      <c r="C182" s="185"/>
      <c r="D182" s="193"/>
      <c r="E182" s="194">
        <f>6+14</f>
        <v>20</v>
      </c>
      <c r="F182" s="195" t="s">
        <v>21</v>
      </c>
      <c r="G182" s="196">
        <v>625000</v>
      </c>
      <c r="H182" s="197">
        <v>175000</v>
      </c>
      <c r="I182" s="126">
        <f t="shared" ref="I182" si="164">H182+G182</f>
        <v>800000</v>
      </c>
      <c r="J182" s="126">
        <f t="shared" ref="J182" si="165">E182*G182</f>
        <v>12500000</v>
      </c>
      <c r="K182" s="126">
        <f t="shared" ref="K182" si="166">E182*H182</f>
        <v>3500000</v>
      </c>
      <c r="L182" s="126">
        <f t="shared" ref="L182" si="167">K182+J182</f>
        <v>16000000</v>
      </c>
    </row>
    <row r="183" spans="1:12" ht="16.5">
      <c r="A183" s="158"/>
      <c r="B183" s="157"/>
      <c r="C183" s="81"/>
      <c r="D183" s="87"/>
      <c r="E183" s="192"/>
      <c r="F183" s="162"/>
      <c r="G183" s="90"/>
      <c r="H183" s="88"/>
      <c r="I183" s="89"/>
      <c r="J183" s="89"/>
      <c r="K183" s="89"/>
      <c r="L183" s="89">
        <f>SUM(L169:L182)</f>
        <v>148008753.75</v>
      </c>
    </row>
    <row r="184" spans="1:12" ht="16.5">
      <c r="A184" s="158"/>
      <c r="B184" s="157"/>
      <c r="C184" s="81"/>
      <c r="D184" s="87"/>
      <c r="E184" s="192"/>
      <c r="F184" s="162"/>
      <c r="G184" s="90"/>
      <c r="H184" s="88"/>
      <c r="I184" s="89"/>
      <c r="J184" s="89"/>
      <c r="K184" s="89"/>
      <c r="L184" s="89"/>
    </row>
    <row r="185" spans="1:12" ht="16.5">
      <c r="A185" s="159" t="s">
        <v>8</v>
      </c>
      <c r="B185" s="156" t="s">
        <v>13</v>
      </c>
      <c r="C185" s="81"/>
      <c r="D185" s="87"/>
      <c r="E185" s="191"/>
      <c r="F185" s="158"/>
      <c r="G185" s="85"/>
      <c r="H185" s="84"/>
      <c r="I185" s="84"/>
      <c r="J185" s="84"/>
      <c r="K185" s="84"/>
      <c r="L185" s="84"/>
    </row>
    <row r="186" spans="1:12">
      <c r="A186" s="158">
        <v>1</v>
      </c>
      <c r="B186" s="157" t="s">
        <v>148</v>
      </c>
      <c r="C186" s="81"/>
      <c r="D186" s="87"/>
      <c r="E186" s="191">
        <v>83</v>
      </c>
      <c r="F186" s="158" t="s">
        <v>21</v>
      </c>
      <c r="G186" s="85">
        <v>145000</v>
      </c>
      <c r="H186" s="84">
        <v>25000</v>
      </c>
      <c r="I186" s="84">
        <f t="shared" ref="I186:I195" si="168">H186+G186</f>
        <v>170000</v>
      </c>
      <c r="J186" s="84">
        <f t="shared" ref="J186:J195" si="169">E186*G186</f>
        <v>12035000</v>
      </c>
      <c r="K186" s="84">
        <f t="shared" ref="K186:K195" si="170">E186*H186</f>
        <v>2075000</v>
      </c>
      <c r="L186" s="84">
        <f t="shared" ref="L186:L195" si="171">K186+J186</f>
        <v>14110000</v>
      </c>
    </row>
    <row r="187" spans="1:12">
      <c r="A187" s="158">
        <f t="shared" ref="A187:A195" si="172">A186+1</f>
        <v>2</v>
      </c>
      <c r="B187" s="157" t="s">
        <v>149</v>
      </c>
      <c r="C187" s="81"/>
      <c r="D187" s="87"/>
      <c r="E187" s="191">
        <v>3</v>
      </c>
      <c r="F187" s="158" t="s">
        <v>24</v>
      </c>
      <c r="G187" s="85">
        <v>2150000</v>
      </c>
      <c r="H187" s="84">
        <v>150000</v>
      </c>
      <c r="I187" s="84">
        <f t="shared" si="168"/>
        <v>2300000</v>
      </c>
      <c r="J187" s="84">
        <f t="shared" si="169"/>
        <v>6450000</v>
      </c>
      <c r="K187" s="84">
        <f t="shared" si="170"/>
        <v>450000</v>
      </c>
      <c r="L187" s="84">
        <f t="shared" si="171"/>
        <v>6900000</v>
      </c>
    </row>
    <row r="188" spans="1:12">
      <c r="A188" s="158">
        <f t="shared" si="172"/>
        <v>3</v>
      </c>
      <c r="B188" s="157" t="s">
        <v>164</v>
      </c>
      <c r="C188" s="81"/>
      <c r="D188" s="87"/>
      <c r="E188" s="191">
        <v>2</v>
      </c>
      <c r="F188" s="158" t="s">
        <v>24</v>
      </c>
      <c r="G188" s="85">
        <v>1950000</v>
      </c>
      <c r="H188" s="84">
        <v>150000</v>
      </c>
      <c r="I188" s="84">
        <f t="shared" si="168"/>
        <v>2100000</v>
      </c>
      <c r="J188" s="84">
        <f t="shared" si="169"/>
        <v>3900000</v>
      </c>
      <c r="K188" s="84">
        <f t="shared" si="170"/>
        <v>300000</v>
      </c>
      <c r="L188" s="84">
        <f t="shared" si="171"/>
        <v>4200000</v>
      </c>
    </row>
    <row r="189" spans="1:12">
      <c r="A189" s="158">
        <f t="shared" si="172"/>
        <v>4</v>
      </c>
      <c r="B189" s="182" t="s">
        <v>213</v>
      </c>
      <c r="C189" s="185"/>
      <c r="D189" s="190"/>
      <c r="E189" s="191">
        <v>4</v>
      </c>
      <c r="F189" s="148" t="s">
        <v>24</v>
      </c>
      <c r="G189" s="189">
        <v>2850000</v>
      </c>
      <c r="H189" s="186">
        <v>225000</v>
      </c>
      <c r="I189" s="84">
        <f t="shared" ref="I189:I191" si="173">H189+G189</f>
        <v>3075000</v>
      </c>
      <c r="J189" s="84">
        <f t="shared" ref="J189:J191" si="174">E189*G189</f>
        <v>11400000</v>
      </c>
      <c r="K189" s="84">
        <f t="shared" ref="K189:K191" si="175">E189*H189</f>
        <v>900000</v>
      </c>
      <c r="L189" s="84">
        <f t="shared" ref="L189:L191" si="176">K189+J189</f>
        <v>12300000</v>
      </c>
    </row>
    <row r="190" spans="1:12">
      <c r="A190" s="158">
        <f t="shared" si="172"/>
        <v>5</v>
      </c>
      <c r="B190" s="182" t="s">
        <v>214</v>
      </c>
      <c r="C190" s="185"/>
      <c r="D190" s="190"/>
      <c r="E190" s="191">
        <v>3</v>
      </c>
      <c r="F190" s="148" t="s">
        <v>24</v>
      </c>
      <c r="G190" s="189">
        <v>2850000</v>
      </c>
      <c r="H190" s="186">
        <v>225000</v>
      </c>
      <c r="I190" s="84">
        <f t="shared" si="173"/>
        <v>3075000</v>
      </c>
      <c r="J190" s="84">
        <f t="shared" si="174"/>
        <v>8550000</v>
      </c>
      <c r="K190" s="84">
        <f t="shared" si="175"/>
        <v>675000</v>
      </c>
      <c r="L190" s="84">
        <f t="shared" si="176"/>
        <v>9225000</v>
      </c>
    </row>
    <row r="191" spans="1:12">
      <c r="A191" s="158">
        <f t="shared" si="172"/>
        <v>6</v>
      </c>
      <c r="B191" s="182" t="s">
        <v>215</v>
      </c>
      <c r="C191" s="185"/>
      <c r="D191" s="190"/>
      <c r="E191" s="191">
        <v>4</v>
      </c>
      <c r="F191" s="148" t="s">
        <v>24</v>
      </c>
      <c r="G191" s="189">
        <v>2650000</v>
      </c>
      <c r="H191" s="186">
        <v>225000</v>
      </c>
      <c r="I191" s="84">
        <f t="shared" si="173"/>
        <v>2875000</v>
      </c>
      <c r="J191" s="84">
        <f t="shared" si="174"/>
        <v>10600000</v>
      </c>
      <c r="K191" s="84">
        <f t="shared" si="175"/>
        <v>900000</v>
      </c>
      <c r="L191" s="84">
        <f t="shared" si="176"/>
        <v>11500000</v>
      </c>
    </row>
    <row r="192" spans="1:12">
      <c r="A192" s="158">
        <f t="shared" si="172"/>
        <v>7</v>
      </c>
      <c r="B192" s="157" t="s">
        <v>152</v>
      </c>
      <c r="C192" s="81"/>
      <c r="D192" s="87"/>
      <c r="E192" s="191">
        <v>2</v>
      </c>
      <c r="F192" s="158" t="s">
        <v>24</v>
      </c>
      <c r="G192" s="85">
        <v>1850000</v>
      </c>
      <c r="H192" s="84">
        <v>115000</v>
      </c>
      <c r="I192" s="84">
        <f t="shared" si="168"/>
        <v>1965000</v>
      </c>
      <c r="J192" s="84">
        <f t="shared" si="169"/>
        <v>3700000</v>
      </c>
      <c r="K192" s="84">
        <f t="shared" si="170"/>
        <v>230000</v>
      </c>
      <c r="L192" s="84">
        <f t="shared" si="171"/>
        <v>3930000</v>
      </c>
    </row>
    <row r="193" spans="1:12">
      <c r="A193" s="158">
        <f t="shared" si="172"/>
        <v>8</v>
      </c>
      <c r="B193" s="157" t="s">
        <v>216</v>
      </c>
      <c r="C193" s="81"/>
      <c r="D193" s="87"/>
      <c r="E193" s="191">
        <f>1.62</f>
        <v>1.62</v>
      </c>
      <c r="F193" s="158" t="s">
        <v>22</v>
      </c>
      <c r="G193" s="85">
        <v>345000</v>
      </c>
      <c r="H193" s="84">
        <v>45000</v>
      </c>
      <c r="I193" s="84">
        <f t="shared" si="168"/>
        <v>390000</v>
      </c>
      <c r="J193" s="84">
        <f t="shared" si="169"/>
        <v>558900</v>
      </c>
      <c r="K193" s="84">
        <f t="shared" si="170"/>
        <v>72900</v>
      </c>
      <c r="L193" s="84">
        <f t="shared" si="171"/>
        <v>631800</v>
      </c>
    </row>
    <row r="194" spans="1:12">
      <c r="A194" s="158">
        <f t="shared" si="172"/>
        <v>9</v>
      </c>
      <c r="B194" s="157" t="s">
        <v>217</v>
      </c>
      <c r="C194" s="81"/>
      <c r="D194" s="87"/>
      <c r="E194" s="191">
        <f>2.5</f>
        <v>2.5</v>
      </c>
      <c r="F194" s="158" t="s">
        <v>22</v>
      </c>
      <c r="G194" s="85">
        <v>345000</v>
      </c>
      <c r="H194" s="84">
        <v>45000</v>
      </c>
      <c r="I194" s="84">
        <f t="shared" si="168"/>
        <v>390000</v>
      </c>
      <c r="J194" s="84">
        <f t="shared" si="169"/>
        <v>862500</v>
      </c>
      <c r="K194" s="84">
        <f t="shared" si="170"/>
        <v>112500</v>
      </c>
      <c r="L194" s="84">
        <f t="shared" si="171"/>
        <v>975000</v>
      </c>
    </row>
    <row r="195" spans="1:12" ht="16.5" thickBot="1">
      <c r="A195" s="158">
        <f t="shared" si="172"/>
        <v>10</v>
      </c>
      <c r="B195" s="157" t="s">
        <v>218</v>
      </c>
      <c r="C195" s="81"/>
      <c r="D195" s="87"/>
      <c r="E195" s="194">
        <f>1.06</f>
        <v>1.06</v>
      </c>
      <c r="F195" s="170" t="s">
        <v>22</v>
      </c>
      <c r="G195" s="125">
        <v>345000</v>
      </c>
      <c r="H195" s="126">
        <v>45000</v>
      </c>
      <c r="I195" s="126">
        <f t="shared" si="168"/>
        <v>390000</v>
      </c>
      <c r="J195" s="126">
        <f t="shared" si="169"/>
        <v>365700</v>
      </c>
      <c r="K195" s="126">
        <f t="shared" si="170"/>
        <v>47700</v>
      </c>
      <c r="L195" s="126">
        <f t="shared" si="171"/>
        <v>413400</v>
      </c>
    </row>
    <row r="196" spans="1:12" ht="16.5">
      <c r="A196" s="158"/>
      <c r="B196" s="91"/>
      <c r="C196" s="81"/>
      <c r="D196" s="87"/>
      <c r="E196" s="192"/>
      <c r="F196" s="162"/>
      <c r="G196" s="90"/>
      <c r="H196" s="88"/>
      <c r="I196" s="89"/>
      <c r="J196" s="89"/>
      <c r="K196" s="89"/>
      <c r="L196" s="89">
        <f>SUM(L186:L195)</f>
        <v>64185200</v>
      </c>
    </row>
    <row r="197" spans="1:12">
      <c r="A197" s="158"/>
      <c r="B197" s="91"/>
      <c r="C197" s="81"/>
      <c r="D197" s="87"/>
      <c r="E197" s="191"/>
      <c r="F197" s="158"/>
      <c r="G197" s="85"/>
      <c r="H197" s="84"/>
      <c r="I197" s="84"/>
      <c r="J197" s="84"/>
      <c r="K197" s="84"/>
      <c r="L197" s="84"/>
    </row>
    <row r="198" spans="1:12" ht="16.5">
      <c r="A198" s="159" t="s">
        <v>10</v>
      </c>
      <c r="B198" s="160" t="s">
        <v>53</v>
      </c>
      <c r="C198" s="81"/>
      <c r="D198" s="87"/>
      <c r="E198" s="96"/>
      <c r="F198" s="161"/>
      <c r="G198" s="85"/>
      <c r="H198" s="84"/>
      <c r="I198" s="84"/>
      <c r="J198" s="84"/>
      <c r="K198" s="84"/>
      <c r="L198" s="84"/>
    </row>
    <row r="199" spans="1:12">
      <c r="A199" s="158">
        <v>1</v>
      </c>
      <c r="B199" s="169" t="s">
        <v>91</v>
      </c>
      <c r="C199" s="81"/>
      <c r="D199" s="87"/>
      <c r="E199" s="202">
        <v>5</v>
      </c>
      <c r="F199" s="161" t="s">
        <v>24</v>
      </c>
      <c r="G199" s="84">
        <v>425000</v>
      </c>
      <c r="H199" s="84">
        <v>35000</v>
      </c>
      <c r="I199" s="84">
        <f t="shared" ref="I199:I210" si="177">H199+G199</f>
        <v>460000</v>
      </c>
      <c r="J199" s="84">
        <f t="shared" ref="J199:J210" si="178">E199*G199</f>
        <v>2125000</v>
      </c>
      <c r="K199" s="84">
        <f t="shared" ref="K199:K210" si="179">E199*H199</f>
        <v>175000</v>
      </c>
      <c r="L199" s="84">
        <f t="shared" ref="L199:L210" si="180">K199+J199</f>
        <v>2300000</v>
      </c>
    </row>
    <row r="200" spans="1:12">
      <c r="A200" s="158">
        <f>A199+1</f>
        <v>2</v>
      </c>
      <c r="B200" s="169" t="s">
        <v>92</v>
      </c>
      <c r="C200" s="81"/>
      <c r="D200" s="87"/>
      <c r="E200" s="202">
        <v>5</v>
      </c>
      <c r="F200" s="161" t="s">
        <v>24</v>
      </c>
      <c r="G200" s="90">
        <v>275000</v>
      </c>
      <c r="H200" s="84">
        <v>45000</v>
      </c>
      <c r="I200" s="84">
        <f t="shared" si="177"/>
        <v>320000</v>
      </c>
      <c r="J200" s="84">
        <f t="shared" si="178"/>
        <v>1375000</v>
      </c>
      <c r="K200" s="84">
        <f t="shared" si="179"/>
        <v>225000</v>
      </c>
      <c r="L200" s="84">
        <f t="shared" si="180"/>
        <v>1600000</v>
      </c>
    </row>
    <row r="201" spans="1:12">
      <c r="A201" s="158">
        <f t="shared" ref="A201:A210" si="181">A200+1</f>
        <v>3</v>
      </c>
      <c r="B201" s="169" t="s">
        <v>142</v>
      </c>
      <c r="C201" s="81"/>
      <c r="D201" s="87"/>
      <c r="E201" s="202">
        <v>5</v>
      </c>
      <c r="F201" s="161" t="s">
        <v>32</v>
      </c>
      <c r="G201" s="90">
        <v>225000</v>
      </c>
      <c r="H201" s="84">
        <v>45000</v>
      </c>
      <c r="I201" s="84">
        <f t="shared" si="177"/>
        <v>270000</v>
      </c>
      <c r="J201" s="84">
        <f t="shared" si="178"/>
        <v>1125000</v>
      </c>
      <c r="K201" s="84">
        <f t="shared" si="179"/>
        <v>225000</v>
      </c>
      <c r="L201" s="84">
        <f t="shared" si="180"/>
        <v>1350000</v>
      </c>
    </row>
    <row r="202" spans="1:12">
      <c r="A202" s="158">
        <f t="shared" si="181"/>
        <v>4</v>
      </c>
      <c r="B202" s="172" t="s">
        <v>131</v>
      </c>
      <c r="C202" s="81"/>
      <c r="D202" s="87"/>
      <c r="E202" s="202">
        <v>5</v>
      </c>
      <c r="F202" s="161" t="s">
        <v>54</v>
      </c>
      <c r="G202" s="85">
        <v>145000</v>
      </c>
      <c r="H202" s="84">
        <v>35000</v>
      </c>
      <c r="I202" s="84">
        <f t="shared" si="177"/>
        <v>180000</v>
      </c>
      <c r="J202" s="84">
        <f t="shared" si="178"/>
        <v>725000</v>
      </c>
      <c r="K202" s="84">
        <f t="shared" si="179"/>
        <v>175000</v>
      </c>
      <c r="L202" s="84">
        <f t="shared" si="180"/>
        <v>900000</v>
      </c>
    </row>
    <row r="203" spans="1:12">
      <c r="A203" s="158">
        <f t="shared" si="181"/>
        <v>5</v>
      </c>
      <c r="B203" s="169" t="s">
        <v>133</v>
      </c>
      <c r="C203" s="81"/>
      <c r="D203" s="87"/>
      <c r="E203" s="202">
        <v>2</v>
      </c>
      <c r="F203" s="161" t="s">
        <v>54</v>
      </c>
      <c r="G203" s="85">
        <v>115000</v>
      </c>
      <c r="H203" s="84">
        <v>35000</v>
      </c>
      <c r="I203" s="84">
        <f t="shared" si="177"/>
        <v>150000</v>
      </c>
      <c r="J203" s="84">
        <f t="shared" si="178"/>
        <v>230000</v>
      </c>
      <c r="K203" s="84">
        <f t="shared" si="179"/>
        <v>70000</v>
      </c>
      <c r="L203" s="84">
        <f t="shared" si="180"/>
        <v>300000</v>
      </c>
    </row>
    <row r="204" spans="1:12">
      <c r="A204" s="158">
        <f t="shared" si="181"/>
        <v>6</v>
      </c>
      <c r="B204" s="181" t="s">
        <v>197</v>
      </c>
      <c r="C204" s="185"/>
      <c r="D204" s="190"/>
      <c r="E204" s="202">
        <v>3</v>
      </c>
      <c r="F204" s="180" t="s">
        <v>32</v>
      </c>
      <c r="G204" s="189">
        <v>2225000</v>
      </c>
      <c r="H204" s="186">
        <v>225000</v>
      </c>
      <c r="I204" s="84">
        <f t="shared" si="177"/>
        <v>2450000</v>
      </c>
      <c r="J204" s="84">
        <f t="shared" si="178"/>
        <v>6675000</v>
      </c>
      <c r="K204" s="84">
        <f t="shared" si="179"/>
        <v>675000</v>
      </c>
      <c r="L204" s="84">
        <f t="shared" si="180"/>
        <v>7350000</v>
      </c>
    </row>
    <row r="205" spans="1:12">
      <c r="A205" s="158">
        <f t="shared" si="181"/>
        <v>7</v>
      </c>
      <c r="B205" s="181" t="s">
        <v>198</v>
      </c>
      <c r="C205" s="185"/>
      <c r="D205" s="190"/>
      <c r="E205" s="202">
        <v>6</v>
      </c>
      <c r="F205" s="180" t="s">
        <v>54</v>
      </c>
      <c r="G205" s="189">
        <v>325000</v>
      </c>
      <c r="H205" s="186">
        <v>35000</v>
      </c>
      <c r="I205" s="84">
        <f t="shared" si="177"/>
        <v>360000</v>
      </c>
      <c r="J205" s="84">
        <f t="shared" si="178"/>
        <v>1950000</v>
      </c>
      <c r="K205" s="84">
        <f t="shared" si="179"/>
        <v>210000</v>
      </c>
      <c r="L205" s="84">
        <f t="shared" si="180"/>
        <v>2160000</v>
      </c>
    </row>
    <row r="206" spans="1:12">
      <c r="A206" s="158">
        <f t="shared" si="181"/>
        <v>8</v>
      </c>
      <c r="B206" s="181" t="s">
        <v>199</v>
      </c>
      <c r="C206" s="185"/>
      <c r="D206" s="190"/>
      <c r="E206" s="202">
        <v>3</v>
      </c>
      <c r="F206" s="180" t="s">
        <v>24</v>
      </c>
      <c r="G206" s="189">
        <v>225000</v>
      </c>
      <c r="H206" s="186">
        <v>45000</v>
      </c>
      <c r="I206" s="84">
        <f t="shared" si="177"/>
        <v>270000</v>
      </c>
      <c r="J206" s="84">
        <f t="shared" si="178"/>
        <v>675000</v>
      </c>
      <c r="K206" s="84">
        <f t="shared" si="179"/>
        <v>135000</v>
      </c>
      <c r="L206" s="84">
        <f t="shared" si="180"/>
        <v>810000</v>
      </c>
    </row>
    <row r="207" spans="1:12">
      <c r="A207" s="158">
        <f t="shared" si="181"/>
        <v>9</v>
      </c>
      <c r="B207" s="181" t="s">
        <v>203</v>
      </c>
      <c r="C207" s="185"/>
      <c r="D207" s="190"/>
      <c r="E207" s="202">
        <v>3</v>
      </c>
      <c r="F207" s="180" t="s">
        <v>32</v>
      </c>
      <c r="G207" s="189">
        <v>235000</v>
      </c>
      <c r="H207" s="186">
        <v>15000</v>
      </c>
      <c r="I207" s="84">
        <f t="shared" si="177"/>
        <v>250000</v>
      </c>
      <c r="J207" s="84">
        <f t="shared" si="178"/>
        <v>705000</v>
      </c>
      <c r="K207" s="84">
        <f t="shared" si="179"/>
        <v>45000</v>
      </c>
      <c r="L207" s="84">
        <f t="shared" si="180"/>
        <v>750000</v>
      </c>
    </row>
    <row r="208" spans="1:12">
      <c r="A208" s="158">
        <f t="shared" si="181"/>
        <v>10</v>
      </c>
      <c r="B208" s="169" t="s">
        <v>93</v>
      </c>
      <c r="C208" s="81"/>
      <c r="D208" s="87"/>
      <c r="E208" s="202">
        <v>2</v>
      </c>
      <c r="F208" s="161" t="s">
        <v>54</v>
      </c>
      <c r="G208" s="128">
        <v>98000</v>
      </c>
      <c r="H208" s="84">
        <v>12000</v>
      </c>
      <c r="I208" s="84">
        <f t="shared" si="177"/>
        <v>110000</v>
      </c>
      <c r="J208" s="84">
        <f t="shared" si="178"/>
        <v>196000</v>
      </c>
      <c r="K208" s="84">
        <f t="shared" si="179"/>
        <v>24000</v>
      </c>
      <c r="L208" s="84">
        <f t="shared" si="180"/>
        <v>220000</v>
      </c>
    </row>
    <row r="209" spans="1:12">
      <c r="A209" s="158">
        <f t="shared" si="181"/>
        <v>11</v>
      </c>
      <c r="B209" s="169" t="s">
        <v>94</v>
      </c>
      <c r="C209" s="81"/>
      <c r="D209" s="87"/>
      <c r="E209" s="202">
        <v>2</v>
      </c>
      <c r="F209" s="161" t="s">
        <v>24</v>
      </c>
      <c r="G209" s="128">
        <v>65000</v>
      </c>
      <c r="H209" s="84">
        <v>12500</v>
      </c>
      <c r="I209" s="84">
        <f t="shared" si="177"/>
        <v>77500</v>
      </c>
      <c r="J209" s="84">
        <f t="shared" si="178"/>
        <v>130000</v>
      </c>
      <c r="K209" s="84">
        <f t="shared" si="179"/>
        <v>25000</v>
      </c>
      <c r="L209" s="84">
        <f t="shared" si="180"/>
        <v>155000</v>
      </c>
    </row>
    <row r="210" spans="1:12" ht="16.5" thickBot="1">
      <c r="A210" s="158">
        <f t="shared" si="181"/>
        <v>12</v>
      </c>
      <c r="B210" s="169" t="s">
        <v>95</v>
      </c>
      <c r="C210" s="81"/>
      <c r="D210" s="87"/>
      <c r="E210" s="203">
        <v>5</v>
      </c>
      <c r="F210" s="173" t="s">
        <v>24</v>
      </c>
      <c r="G210" s="125">
        <v>85000</v>
      </c>
      <c r="H210" s="126">
        <v>15000</v>
      </c>
      <c r="I210" s="126">
        <f t="shared" si="177"/>
        <v>100000</v>
      </c>
      <c r="J210" s="126">
        <f t="shared" si="178"/>
        <v>425000</v>
      </c>
      <c r="K210" s="126">
        <f t="shared" si="179"/>
        <v>75000</v>
      </c>
      <c r="L210" s="126">
        <f t="shared" si="180"/>
        <v>500000</v>
      </c>
    </row>
    <row r="211" spans="1:12" ht="16.5">
      <c r="A211" s="158"/>
      <c r="B211" s="133"/>
      <c r="C211" s="81"/>
      <c r="D211" s="87"/>
      <c r="E211" s="134"/>
      <c r="F211" s="135"/>
      <c r="G211" s="90"/>
      <c r="H211" s="88"/>
      <c r="I211" s="89"/>
      <c r="J211" s="89"/>
      <c r="K211" s="89"/>
      <c r="L211" s="89">
        <f>SUM(L199:L210)</f>
        <v>18395000</v>
      </c>
    </row>
    <row r="212" spans="1:12">
      <c r="A212" s="158"/>
      <c r="B212" s="157"/>
      <c r="C212" s="81"/>
      <c r="D212" s="87"/>
      <c r="E212" s="191"/>
      <c r="F212" s="158"/>
      <c r="G212" s="85"/>
      <c r="H212" s="84"/>
      <c r="I212" s="84"/>
      <c r="J212" s="84"/>
      <c r="K212" s="84"/>
      <c r="L212" s="84"/>
    </row>
    <row r="213" spans="1:12" ht="15.75" customHeight="1">
      <c r="A213" s="159" t="s">
        <v>11</v>
      </c>
      <c r="B213" s="156" t="s">
        <v>33</v>
      </c>
      <c r="C213" s="81"/>
      <c r="D213" s="87"/>
      <c r="E213" s="191"/>
      <c r="F213" s="158"/>
      <c r="G213" s="85"/>
      <c r="H213" s="84"/>
      <c r="I213" s="84"/>
      <c r="J213" s="84"/>
      <c r="K213" s="84"/>
      <c r="L213" s="84"/>
    </row>
    <row r="214" spans="1:12">
      <c r="A214" s="158">
        <v>1</v>
      </c>
      <c r="B214" s="157" t="s">
        <v>138</v>
      </c>
      <c r="C214" s="129"/>
      <c r="D214" s="130"/>
      <c r="E214" s="198">
        <f>75</f>
        <v>75</v>
      </c>
      <c r="F214" s="158" t="s">
        <v>22</v>
      </c>
      <c r="G214" s="85">
        <v>120000</v>
      </c>
      <c r="H214" s="84">
        <v>30000</v>
      </c>
      <c r="I214" s="84">
        <f t="shared" ref="I214:I216" si="182">H214+G214</f>
        <v>150000</v>
      </c>
      <c r="J214" s="84">
        <f t="shared" ref="J214:J216" si="183">E214*G214</f>
        <v>9000000</v>
      </c>
      <c r="K214" s="84">
        <f t="shared" ref="K214:K216" si="184">E214*H214</f>
        <v>2250000</v>
      </c>
      <c r="L214" s="84">
        <f t="shared" ref="L214:L216" si="185">K214+J214</f>
        <v>11250000</v>
      </c>
    </row>
    <row r="215" spans="1:12">
      <c r="A215" s="184">
        <f>A214+1</f>
        <v>2</v>
      </c>
      <c r="B215" s="183" t="s">
        <v>205</v>
      </c>
      <c r="C215" s="199"/>
      <c r="D215" s="204"/>
      <c r="E215" s="191">
        <v>6</v>
      </c>
      <c r="F215" s="184" t="s">
        <v>22</v>
      </c>
      <c r="G215" s="189">
        <v>245000</v>
      </c>
      <c r="H215" s="186">
        <v>65000</v>
      </c>
      <c r="I215" s="84">
        <f t="shared" si="182"/>
        <v>310000</v>
      </c>
      <c r="J215" s="84">
        <f t="shared" si="183"/>
        <v>1470000</v>
      </c>
      <c r="K215" s="84">
        <f t="shared" si="184"/>
        <v>390000</v>
      </c>
      <c r="L215" s="84">
        <f t="shared" si="185"/>
        <v>1860000</v>
      </c>
    </row>
    <row r="216" spans="1:12" ht="16.5" thickBot="1">
      <c r="A216" s="184">
        <f>A215+1</f>
        <v>3</v>
      </c>
      <c r="B216" s="157" t="s">
        <v>122</v>
      </c>
      <c r="C216" s="81"/>
      <c r="D216" s="87"/>
      <c r="E216" s="194">
        <f>E214*0.85</f>
        <v>63.75</v>
      </c>
      <c r="F216" s="170" t="s">
        <v>21</v>
      </c>
      <c r="G216" s="126">
        <v>15000</v>
      </c>
      <c r="H216" s="126">
        <v>6500</v>
      </c>
      <c r="I216" s="126">
        <f t="shared" si="182"/>
        <v>21500</v>
      </c>
      <c r="J216" s="126">
        <f t="shared" si="183"/>
        <v>956250</v>
      </c>
      <c r="K216" s="126">
        <f t="shared" si="184"/>
        <v>414375</v>
      </c>
      <c r="L216" s="126">
        <f t="shared" si="185"/>
        <v>1370625</v>
      </c>
    </row>
    <row r="217" spans="1:12" ht="16.5">
      <c r="B217" s="86"/>
      <c r="E217" s="136"/>
      <c r="F217" s="137"/>
      <c r="G217" s="138"/>
      <c r="H217" s="138"/>
      <c r="I217" s="139"/>
      <c r="J217" s="139"/>
      <c r="K217" s="139"/>
      <c r="L217" s="139">
        <f>SUM(L214:L216)</f>
        <v>14480625</v>
      </c>
    </row>
    <row r="218" spans="1:12">
      <c r="A218" s="158"/>
      <c r="B218" s="157"/>
      <c r="C218" s="81"/>
      <c r="D218" s="87"/>
      <c r="E218" s="191"/>
      <c r="F218" s="158"/>
      <c r="G218" s="85"/>
      <c r="H218" s="84"/>
      <c r="I218" s="84"/>
      <c r="J218" s="84"/>
      <c r="K218" s="84"/>
      <c r="L218" s="84"/>
    </row>
    <row r="219" spans="1:12" ht="16.5">
      <c r="A219" s="159" t="s">
        <v>12</v>
      </c>
      <c r="B219" s="95" t="s">
        <v>96</v>
      </c>
      <c r="C219" s="81"/>
      <c r="D219" s="87"/>
      <c r="E219" s="191"/>
      <c r="F219" s="158"/>
      <c r="G219" s="85"/>
      <c r="H219" s="84"/>
      <c r="I219" s="84"/>
      <c r="J219" s="84"/>
      <c r="K219" s="84"/>
      <c r="L219" s="84"/>
    </row>
    <row r="220" spans="1:12">
      <c r="A220" s="158">
        <v>1</v>
      </c>
      <c r="B220" s="157" t="s">
        <v>100</v>
      </c>
      <c r="C220" s="81"/>
      <c r="D220" s="87"/>
      <c r="E220" s="191">
        <f>E214</f>
        <v>75</v>
      </c>
      <c r="F220" s="158" t="s">
        <v>22</v>
      </c>
      <c r="G220" s="90">
        <v>25000</v>
      </c>
      <c r="H220" s="88">
        <v>12500</v>
      </c>
      <c r="I220" s="84">
        <f t="shared" ref="I220:I224" si="186">H220+G220</f>
        <v>37500</v>
      </c>
      <c r="J220" s="84">
        <f t="shared" ref="J220:J224" si="187">E220*G220</f>
        <v>1875000</v>
      </c>
      <c r="K220" s="84">
        <f t="shared" ref="K220:K224" si="188">E220*H220</f>
        <v>937500</v>
      </c>
      <c r="L220" s="84">
        <f t="shared" ref="L220:L224" si="189">K220+J220</f>
        <v>2812500</v>
      </c>
    </row>
    <row r="221" spans="1:12">
      <c r="A221" s="158">
        <f>A220+1</f>
        <v>2</v>
      </c>
      <c r="B221" s="157" t="s">
        <v>98</v>
      </c>
      <c r="C221" s="81"/>
      <c r="D221" s="87"/>
      <c r="E221" s="191">
        <f>E170/2.15</f>
        <v>199.41279069767444</v>
      </c>
      <c r="F221" s="158" t="s">
        <v>22</v>
      </c>
      <c r="G221" s="90">
        <v>35000</v>
      </c>
      <c r="H221" s="88">
        <v>16000</v>
      </c>
      <c r="I221" s="84">
        <f t="shared" si="186"/>
        <v>51000</v>
      </c>
      <c r="J221" s="84">
        <f t="shared" si="187"/>
        <v>6979447.6744186049</v>
      </c>
      <c r="K221" s="84">
        <f t="shared" si="188"/>
        <v>3190604.6511627911</v>
      </c>
      <c r="L221" s="84">
        <f t="shared" si="189"/>
        <v>10170052.325581396</v>
      </c>
    </row>
    <row r="222" spans="1:12">
      <c r="A222" s="158">
        <f t="shared" ref="A222:A224" si="190">A221+1</f>
        <v>3</v>
      </c>
      <c r="B222" s="157" t="s">
        <v>99</v>
      </c>
      <c r="C222" s="81"/>
      <c r="D222" s="87"/>
      <c r="E222" s="191">
        <f>E171/2.15</f>
        <v>199.41279069767444</v>
      </c>
      <c r="F222" s="158" t="s">
        <v>22</v>
      </c>
      <c r="G222" s="90">
        <v>45000</v>
      </c>
      <c r="H222" s="88">
        <v>18000</v>
      </c>
      <c r="I222" s="84">
        <f t="shared" si="186"/>
        <v>63000</v>
      </c>
      <c r="J222" s="84">
        <f t="shared" si="187"/>
        <v>8973575.5813953504</v>
      </c>
      <c r="K222" s="84">
        <f t="shared" si="188"/>
        <v>3589430.2325581401</v>
      </c>
      <c r="L222" s="84">
        <f t="shared" si="189"/>
        <v>12563005.813953491</v>
      </c>
    </row>
    <row r="223" spans="1:12">
      <c r="A223" s="158">
        <f t="shared" si="190"/>
        <v>4</v>
      </c>
      <c r="B223" s="131" t="s">
        <v>97</v>
      </c>
      <c r="C223" s="81"/>
      <c r="D223" s="87"/>
      <c r="E223" s="191">
        <f>E186</f>
        <v>83</v>
      </c>
      <c r="F223" s="158" t="s">
        <v>21</v>
      </c>
      <c r="G223" s="90">
        <v>25000</v>
      </c>
      <c r="H223" s="88">
        <v>15000</v>
      </c>
      <c r="I223" s="84">
        <f t="shared" si="186"/>
        <v>40000</v>
      </c>
      <c r="J223" s="84">
        <f t="shared" si="187"/>
        <v>2075000</v>
      </c>
      <c r="K223" s="84">
        <f t="shared" si="188"/>
        <v>1245000</v>
      </c>
      <c r="L223" s="84">
        <f t="shared" si="189"/>
        <v>3320000</v>
      </c>
    </row>
    <row r="224" spans="1:12" ht="16.5" thickBot="1">
      <c r="A224" s="158">
        <f t="shared" si="190"/>
        <v>5</v>
      </c>
      <c r="B224" s="131" t="s">
        <v>101</v>
      </c>
      <c r="C224" s="81"/>
      <c r="D224" s="87"/>
      <c r="E224" s="194">
        <f>2.25*12</f>
        <v>27</v>
      </c>
      <c r="F224" s="170" t="s">
        <v>22</v>
      </c>
      <c r="G224" s="126">
        <v>85000</v>
      </c>
      <c r="H224" s="126">
        <v>25000</v>
      </c>
      <c r="I224" s="126">
        <f t="shared" si="186"/>
        <v>110000</v>
      </c>
      <c r="J224" s="126">
        <f t="shared" si="187"/>
        <v>2295000</v>
      </c>
      <c r="K224" s="126">
        <f t="shared" si="188"/>
        <v>675000</v>
      </c>
      <c r="L224" s="126">
        <f t="shared" si="189"/>
        <v>2970000</v>
      </c>
    </row>
    <row r="225" spans="1:12" ht="16.5">
      <c r="A225" s="158"/>
      <c r="B225" s="157"/>
      <c r="C225" s="81"/>
      <c r="D225" s="87"/>
      <c r="E225" s="192"/>
      <c r="F225" s="162"/>
      <c r="G225" s="90"/>
      <c r="H225" s="88"/>
      <c r="I225" s="89"/>
      <c r="J225" s="89"/>
      <c r="K225" s="89"/>
      <c r="L225" s="89">
        <f>SUM(L220:L224)</f>
        <v>31835558.139534887</v>
      </c>
    </row>
    <row r="226" spans="1:12" ht="16.5">
      <c r="A226" s="158"/>
      <c r="B226" s="157"/>
      <c r="C226" s="81"/>
      <c r="D226" s="87"/>
      <c r="E226" s="192"/>
      <c r="F226" s="162"/>
      <c r="G226" s="90"/>
      <c r="H226" s="88"/>
      <c r="I226" s="89"/>
      <c r="J226" s="89"/>
      <c r="K226" s="89"/>
      <c r="L226" s="89"/>
    </row>
    <row r="227" spans="1:12" ht="16.5">
      <c r="A227" s="159" t="s">
        <v>36</v>
      </c>
      <c r="B227" s="156" t="s">
        <v>15</v>
      </c>
      <c r="C227" s="81"/>
      <c r="D227" s="87"/>
      <c r="E227" s="191"/>
      <c r="F227" s="158"/>
      <c r="G227" s="85"/>
      <c r="H227" s="84"/>
      <c r="I227" s="84"/>
      <c r="J227" s="84"/>
      <c r="K227" s="84"/>
      <c r="L227" s="84"/>
    </row>
    <row r="228" spans="1:12">
      <c r="A228" s="158">
        <v>1</v>
      </c>
      <c r="B228" s="157" t="s">
        <v>59</v>
      </c>
      <c r="C228" s="81"/>
      <c r="D228" s="87"/>
      <c r="E228" s="191">
        <f>4*7</f>
        <v>28</v>
      </c>
      <c r="F228" s="158" t="s">
        <v>21</v>
      </c>
      <c r="G228" s="85">
        <v>125000</v>
      </c>
      <c r="H228" s="84">
        <v>17000</v>
      </c>
      <c r="I228" s="84">
        <f t="shared" ref="I228:I239" si="191">H228+G228</f>
        <v>142000</v>
      </c>
      <c r="J228" s="84">
        <f t="shared" ref="J228:J239" si="192">E228*G228</f>
        <v>3500000</v>
      </c>
      <c r="K228" s="84">
        <f t="shared" ref="K228:K239" si="193">E228*H228</f>
        <v>476000</v>
      </c>
      <c r="L228" s="84">
        <f t="shared" ref="L228:L239" si="194">K228+J228</f>
        <v>3976000</v>
      </c>
    </row>
    <row r="229" spans="1:12">
      <c r="A229" s="158">
        <f>1+A228</f>
        <v>2</v>
      </c>
      <c r="B229" s="157" t="s">
        <v>72</v>
      </c>
      <c r="C229" s="81"/>
      <c r="D229" s="87"/>
      <c r="E229" s="191">
        <f>4*7</f>
        <v>28</v>
      </c>
      <c r="F229" s="158" t="s">
        <v>21</v>
      </c>
      <c r="G229" s="85">
        <v>95000</v>
      </c>
      <c r="H229" s="84">
        <v>15000</v>
      </c>
      <c r="I229" s="84">
        <f t="shared" si="191"/>
        <v>110000</v>
      </c>
      <c r="J229" s="84">
        <f t="shared" si="192"/>
        <v>2660000</v>
      </c>
      <c r="K229" s="84">
        <f t="shared" si="193"/>
        <v>420000</v>
      </c>
      <c r="L229" s="84">
        <f t="shared" si="194"/>
        <v>3080000</v>
      </c>
    </row>
    <row r="230" spans="1:12">
      <c r="A230" s="158">
        <f t="shared" ref="A230:A239" si="195">1+A229</f>
        <v>3</v>
      </c>
      <c r="B230" s="157" t="s">
        <v>73</v>
      </c>
      <c r="C230" s="81"/>
      <c r="D230" s="87"/>
      <c r="E230" s="191">
        <f>4*5</f>
        <v>20</v>
      </c>
      <c r="F230" s="158" t="s">
        <v>21</v>
      </c>
      <c r="G230" s="85">
        <v>45000</v>
      </c>
      <c r="H230" s="84">
        <v>12000</v>
      </c>
      <c r="I230" s="84">
        <f t="shared" si="191"/>
        <v>57000</v>
      </c>
      <c r="J230" s="84">
        <f t="shared" si="192"/>
        <v>900000</v>
      </c>
      <c r="K230" s="84">
        <f t="shared" si="193"/>
        <v>240000</v>
      </c>
      <c r="L230" s="84">
        <f t="shared" si="194"/>
        <v>1140000</v>
      </c>
    </row>
    <row r="231" spans="1:12">
      <c r="A231" s="158">
        <f t="shared" si="195"/>
        <v>4</v>
      </c>
      <c r="B231" s="157" t="s">
        <v>60</v>
      </c>
      <c r="C231" s="81"/>
      <c r="D231" s="87"/>
      <c r="E231" s="191">
        <f>4*4</f>
        <v>16</v>
      </c>
      <c r="F231" s="158" t="s">
        <v>21</v>
      </c>
      <c r="G231" s="85">
        <v>22000</v>
      </c>
      <c r="H231" s="84">
        <v>8500</v>
      </c>
      <c r="I231" s="84">
        <f t="shared" si="191"/>
        <v>30500</v>
      </c>
      <c r="J231" s="84">
        <f t="shared" si="192"/>
        <v>352000</v>
      </c>
      <c r="K231" s="84">
        <f t="shared" si="193"/>
        <v>136000</v>
      </c>
      <c r="L231" s="84">
        <f t="shared" si="194"/>
        <v>488000</v>
      </c>
    </row>
    <row r="232" spans="1:12">
      <c r="A232" s="158">
        <f t="shared" si="195"/>
        <v>5</v>
      </c>
      <c r="B232" s="157" t="s">
        <v>126</v>
      </c>
      <c r="C232" s="81"/>
      <c r="D232" s="87"/>
      <c r="E232" s="191">
        <v>18</v>
      </c>
      <c r="F232" s="158" t="s">
        <v>21</v>
      </c>
      <c r="G232" s="85">
        <v>65000</v>
      </c>
      <c r="H232" s="84">
        <v>22000</v>
      </c>
      <c r="I232" s="84">
        <f t="shared" si="191"/>
        <v>87000</v>
      </c>
      <c r="J232" s="84">
        <f t="shared" si="192"/>
        <v>1170000</v>
      </c>
      <c r="K232" s="84">
        <f t="shared" si="193"/>
        <v>396000</v>
      </c>
      <c r="L232" s="84">
        <f t="shared" si="194"/>
        <v>1566000</v>
      </c>
    </row>
    <row r="233" spans="1:12">
      <c r="A233" s="158">
        <f t="shared" si="195"/>
        <v>6</v>
      </c>
      <c r="B233" s="157" t="s">
        <v>16</v>
      </c>
      <c r="C233" s="81"/>
      <c r="D233" s="87"/>
      <c r="E233" s="191">
        <v>4</v>
      </c>
      <c r="F233" s="158" t="s">
        <v>24</v>
      </c>
      <c r="G233" s="85">
        <v>225000</v>
      </c>
      <c r="H233" s="84">
        <v>25000</v>
      </c>
      <c r="I233" s="84">
        <f t="shared" si="191"/>
        <v>250000</v>
      </c>
      <c r="J233" s="84">
        <f t="shared" si="192"/>
        <v>900000</v>
      </c>
      <c r="K233" s="84">
        <f t="shared" si="193"/>
        <v>100000</v>
      </c>
      <c r="L233" s="84">
        <f t="shared" si="194"/>
        <v>1000000</v>
      </c>
    </row>
    <row r="234" spans="1:12">
      <c r="A234" s="158">
        <f t="shared" si="195"/>
        <v>7</v>
      </c>
      <c r="B234" s="157" t="s">
        <v>38</v>
      </c>
      <c r="C234" s="81"/>
      <c r="D234" s="87"/>
      <c r="E234" s="191">
        <v>1</v>
      </c>
      <c r="F234" s="158" t="s">
        <v>24</v>
      </c>
      <c r="G234" s="85">
        <v>435000</v>
      </c>
      <c r="H234" s="84">
        <v>25000</v>
      </c>
      <c r="I234" s="84">
        <f t="shared" si="191"/>
        <v>460000</v>
      </c>
      <c r="J234" s="84">
        <f t="shared" si="192"/>
        <v>435000</v>
      </c>
      <c r="K234" s="84">
        <f t="shared" si="193"/>
        <v>25000</v>
      </c>
      <c r="L234" s="84">
        <f t="shared" si="194"/>
        <v>460000</v>
      </c>
    </row>
    <row r="235" spans="1:12">
      <c r="A235" s="158">
        <f t="shared" si="195"/>
        <v>8</v>
      </c>
      <c r="B235" s="157" t="s">
        <v>146</v>
      </c>
      <c r="C235" s="81"/>
      <c r="D235" s="87"/>
      <c r="E235" s="191">
        <v>2</v>
      </c>
      <c r="F235" s="158" t="s">
        <v>24</v>
      </c>
      <c r="G235" s="85">
        <v>3250000</v>
      </c>
      <c r="H235" s="84">
        <v>175000</v>
      </c>
      <c r="I235" s="84">
        <f t="shared" si="191"/>
        <v>3425000</v>
      </c>
      <c r="J235" s="84">
        <f t="shared" si="192"/>
        <v>6500000</v>
      </c>
      <c r="K235" s="84">
        <f t="shared" si="193"/>
        <v>350000</v>
      </c>
      <c r="L235" s="84">
        <f t="shared" si="194"/>
        <v>6850000</v>
      </c>
    </row>
    <row r="236" spans="1:12">
      <c r="A236" s="158">
        <f t="shared" si="195"/>
        <v>9</v>
      </c>
      <c r="B236" s="157" t="s">
        <v>40</v>
      </c>
      <c r="C236" s="81"/>
      <c r="D236" s="87"/>
      <c r="E236" s="191">
        <v>2</v>
      </c>
      <c r="F236" s="158" t="s">
        <v>24</v>
      </c>
      <c r="G236" s="85">
        <v>2150000</v>
      </c>
      <c r="H236" s="84">
        <v>150000</v>
      </c>
      <c r="I236" s="84">
        <f t="shared" si="191"/>
        <v>2300000</v>
      </c>
      <c r="J236" s="84">
        <f t="shared" si="192"/>
        <v>4300000</v>
      </c>
      <c r="K236" s="84">
        <f t="shared" si="193"/>
        <v>300000</v>
      </c>
      <c r="L236" s="84">
        <f t="shared" si="194"/>
        <v>4600000</v>
      </c>
    </row>
    <row r="237" spans="1:12">
      <c r="A237" s="158">
        <f t="shared" si="195"/>
        <v>10</v>
      </c>
      <c r="B237" s="157" t="s">
        <v>219</v>
      </c>
      <c r="C237" s="81"/>
      <c r="D237" s="87"/>
      <c r="E237" s="191">
        <v>1</v>
      </c>
      <c r="F237" s="158" t="s">
        <v>52</v>
      </c>
      <c r="G237" s="85">
        <v>5250000</v>
      </c>
      <c r="H237" s="84">
        <v>450000</v>
      </c>
      <c r="I237" s="84">
        <f t="shared" si="191"/>
        <v>5700000</v>
      </c>
      <c r="J237" s="84">
        <f t="shared" si="192"/>
        <v>5250000</v>
      </c>
      <c r="K237" s="84">
        <f t="shared" si="193"/>
        <v>450000</v>
      </c>
      <c r="L237" s="84">
        <f t="shared" si="194"/>
        <v>5700000</v>
      </c>
    </row>
    <row r="238" spans="1:12">
      <c r="A238" s="158">
        <f t="shared" si="195"/>
        <v>11</v>
      </c>
      <c r="B238" s="157" t="s">
        <v>114</v>
      </c>
      <c r="C238" s="81"/>
      <c r="D238" s="87"/>
      <c r="E238" s="191">
        <v>5</v>
      </c>
      <c r="F238" s="158" t="s">
        <v>24</v>
      </c>
      <c r="G238" s="85">
        <v>145000</v>
      </c>
      <c r="H238" s="84">
        <v>12000</v>
      </c>
      <c r="I238" s="84">
        <f t="shared" si="191"/>
        <v>157000</v>
      </c>
      <c r="J238" s="84">
        <f t="shared" si="192"/>
        <v>725000</v>
      </c>
      <c r="K238" s="84">
        <f t="shared" si="193"/>
        <v>60000</v>
      </c>
      <c r="L238" s="84">
        <f t="shared" si="194"/>
        <v>785000</v>
      </c>
    </row>
    <row r="239" spans="1:12" ht="16.5" thickBot="1">
      <c r="A239" s="158">
        <f t="shared" si="195"/>
        <v>12</v>
      </c>
      <c r="B239" s="157" t="s">
        <v>17</v>
      </c>
      <c r="C239" s="81"/>
      <c r="D239" s="87"/>
      <c r="E239" s="194">
        <v>3</v>
      </c>
      <c r="F239" s="170" t="s">
        <v>24</v>
      </c>
      <c r="G239" s="125">
        <v>45000</v>
      </c>
      <c r="H239" s="126">
        <v>15000</v>
      </c>
      <c r="I239" s="126">
        <f t="shared" si="191"/>
        <v>60000</v>
      </c>
      <c r="J239" s="126">
        <f t="shared" si="192"/>
        <v>135000</v>
      </c>
      <c r="K239" s="126">
        <f t="shared" si="193"/>
        <v>45000</v>
      </c>
      <c r="L239" s="126">
        <f t="shared" si="194"/>
        <v>180000</v>
      </c>
    </row>
    <row r="240" spans="1:12" ht="16.5">
      <c r="A240" s="158"/>
      <c r="B240" s="157"/>
      <c r="C240" s="81"/>
      <c r="D240" s="87"/>
      <c r="E240" s="192"/>
      <c r="F240" s="162"/>
      <c r="G240" s="90"/>
      <c r="H240" s="88"/>
      <c r="I240" s="89"/>
      <c r="J240" s="89"/>
      <c r="K240" s="89"/>
      <c r="L240" s="89">
        <f>SUM(L228:L239)</f>
        <v>29825000</v>
      </c>
    </row>
    <row r="241" spans="1:12">
      <c r="A241" s="158"/>
      <c r="B241" s="157"/>
      <c r="C241" s="81"/>
      <c r="D241" s="87"/>
      <c r="E241" s="191"/>
      <c r="F241" s="158"/>
      <c r="G241" s="85"/>
      <c r="H241" s="84"/>
      <c r="I241" s="84"/>
      <c r="J241" s="84"/>
      <c r="K241" s="84"/>
      <c r="L241" s="84"/>
    </row>
    <row r="242" spans="1:12" ht="16.5">
      <c r="A242" s="159" t="s">
        <v>37</v>
      </c>
      <c r="B242" s="156" t="s">
        <v>34</v>
      </c>
      <c r="C242" s="81"/>
      <c r="D242" s="87"/>
      <c r="E242" s="191"/>
      <c r="F242" s="158"/>
      <c r="G242" s="85"/>
      <c r="H242" s="84"/>
      <c r="I242" s="84"/>
      <c r="J242" s="84"/>
      <c r="K242" s="84"/>
      <c r="L242" s="84"/>
    </row>
    <row r="243" spans="1:12">
      <c r="A243" s="158">
        <v>1</v>
      </c>
      <c r="B243" s="157" t="s">
        <v>18</v>
      </c>
      <c r="C243" s="81"/>
      <c r="D243" s="87"/>
      <c r="E243" s="191">
        <v>32</v>
      </c>
      <c r="F243" s="158" t="s">
        <v>25</v>
      </c>
      <c r="G243" s="85">
        <v>215000</v>
      </c>
      <c r="H243" s="84">
        <v>55000</v>
      </c>
      <c r="I243" s="84">
        <f t="shared" ref="I243:I255" si="196">H243+G243</f>
        <v>270000</v>
      </c>
      <c r="J243" s="84">
        <f t="shared" ref="J243:J255" si="197">E243*G243</f>
        <v>6880000</v>
      </c>
      <c r="K243" s="84">
        <f t="shared" ref="K243:K255" si="198">E243*H243</f>
        <v>1760000</v>
      </c>
      <c r="L243" s="84">
        <f t="shared" ref="L243:L255" si="199">K243+J243</f>
        <v>8640000</v>
      </c>
    </row>
    <row r="244" spans="1:12">
      <c r="A244" s="158">
        <f t="shared" ref="A244:A255" si="200">A243+1</f>
        <v>2</v>
      </c>
      <c r="B244" s="157" t="s">
        <v>19</v>
      </c>
      <c r="C244" s="81"/>
      <c r="D244" s="87"/>
      <c r="E244" s="191">
        <v>12</v>
      </c>
      <c r="F244" s="158" t="s">
        <v>25</v>
      </c>
      <c r="G244" s="85">
        <v>245000</v>
      </c>
      <c r="H244" s="84">
        <v>55000</v>
      </c>
      <c r="I244" s="84">
        <f t="shared" si="196"/>
        <v>300000</v>
      </c>
      <c r="J244" s="84">
        <f t="shared" si="197"/>
        <v>2940000</v>
      </c>
      <c r="K244" s="84">
        <f t="shared" si="198"/>
        <v>660000</v>
      </c>
      <c r="L244" s="84">
        <f t="shared" si="199"/>
        <v>3600000</v>
      </c>
    </row>
    <row r="245" spans="1:12">
      <c r="A245" s="158">
        <f t="shared" si="200"/>
        <v>3</v>
      </c>
      <c r="B245" s="157" t="s">
        <v>20</v>
      </c>
      <c r="C245" s="81"/>
      <c r="D245" s="87"/>
      <c r="E245" s="191">
        <v>3</v>
      </c>
      <c r="F245" s="158" t="s">
        <v>25</v>
      </c>
      <c r="G245" s="85">
        <v>265000</v>
      </c>
      <c r="H245" s="84">
        <v>55000</v>
      </c>
      <c r="I245" s="84">
        <f t="shared" si="196"/>
        <v>320000</v>
      </c>
      <c r="J245" s="84">
        <f t="shared" si="197"/>
        <v>795000</v>
      </c>
      <c r="K245" s="84">
        <f t="shared" si="198"/>
        <v>165000</v>
      </c>
      <c r="L245" s="84">
        <f t="shared" si="199"/>
        <v>960000</v>
      </c>
    </row>
    <row r="246" spans="1:12">
      <c r="A246" s="158">
        <f t="shared" si="200"/>
        <v>4</v>
      </c>
      <c r="B246" s="157" t="s">
        <v>39</v>
      </c>
      <c r="C246" s="81"/>
      <c r="D246" s="87"/>
      <c r="E246" s="191">
        <v>32</v>
      </c>
      <c r="F246" s="158" t="s">
        <v>24</v>
      </c>
      <c r="G246" s="85">
        <v>115000</v>
      </c>
      <c r="H246" s="84">
        <v>25000</v>
      </c>
      <c r="I246" s="84">
        <f t="shared" si="196"/>
        <v>140000</v>
      </c>
      <c r="J246" s="84">
        <f t="shared" si="197"/>
        <v>3680000</v>
      </c>
      <c r="K246" s="84">
        <f t="shared" si="198"/>
        <v>800000</v>
      </c>
      <c r="L246" s="84">
        <f t="shared" si="199"/>
        <v>4480000</v>
      </c>
    </row>
    <row r="247" spans="1:12">
      <c r="A247" s="158">
        <f t="shared" si="200"/>
        <v>5</v>
      </c>
      <c r="B247" s="157" t="s">
        <v>206</v>
      </c>
      <c r="C247" s="81"/>
      <c r="D247" s="87"/>
      <c r="E247" s="191">
        <v>24</v>
      </c>
      <c r="F247" s="158" t="s">
        <v>21</v>
      </c>
      <c r="G247" s="85">
        <v>65000</v>
      </c>
      <c r="H247" s="84">
        <v>25000</v>
      </c>
      <c r="I247" s="84">
        <f t="shared" si="196"/>
        <v>90000</v>
      </c>
      <c r="J247" s="84">
        <f t="shared" si="197"/>
        <v>1560000</v>
      </c>
      <c r="K247" s="84">
        <f t="shared" si="198"/>
        <v>600000</v>
      </c>
      <c r="L247" s="84">
        <f t="shared" si="199"/>
        <v>2160000</v>
      </c>
    </row>
    <row r="248" spans="1:12">
      <c r="A248" s="158">
        <f t="shared" si="200"/>
        <v>6</v>
      </c>
      <c r="B248" s="157" t="s">
        <v>29</v>
      </c>
      <c r="C248" s="81"/>
      <c r="D248" s="87"/>
      <c r="E248" s="191">
        <v>12</v>
      </c>
      <c r="F248" s="158" t="s">
        <v>24</v>
      </c>
      <c r="G248" s="85">
        <v>35000</v>
      </c>
      <c r="H248" s="84">
        <v>10500</v>
      </c>
      <c r="I248" s="84">
        <f t="shared" si="196"/>
        <v>45500</v>
      </c>
      <c r="J248" s="84">
        <f t="shared" si="197"/>
        <v>420000</v>
      </c>
      <c r="K248" s="84">
        <f t="shared" si="198"/>
        <v>126000</v>
      </c>
      <c r="L248" s="84">
        <f t="shared" si="199"/>
        <v>546000</v>
      </c>
    </row>
    <row r="249" spans="1:12">
      <c r="A249" s="158">
        <f t="shared" si="200"/>
        <v>7</v>
      </c>
      <c r="B249" s="157" t="s">
        <v>42</v>
      </c>
      <c r="C249" s="81"/>
      <c r="D249" s="87"/>
      <c r="E249" s="191">
        <v>14</v>
      </c>
      <c r="F249" s="158" t="s">
        <v>24</v>
      </c>
      <c r="G249" s="85">
        <v>125000</v>
      </c>
      <c r="H249" s="84">
        <v>10000</v>
      </c>
      <c r="I249" s="84">
        <f t="shared" si="196"/>
        <v>135000</v>
      </c>
      <c r="J249" s="84">
        <f t="shared" si="197"/>
        <v>1750000</v>
      </c>
      <c r="K249" s="84">
        <f t="shared" si="198"/>
        <v>140000</v>
      </c>
      <c r="L249" s="84">
        <f t="shared" si="199"/>
        <v>1890000</v>
      </c>
    </row>
    <row r="250" spans="1:12">
      <c r="A250" s="158">
        <f t="shared" si="200"/>
        <v>8</v>
      </c>
      <c r="B250" s="157" t="s">
        <v>56</v>
      </c>
      <c r="C250" s="81"/>
      <c r="D250" s="87"/>
      <c r="E250" s="191">
        <v>2</v>
      </c>
      <c r="F250" s="158" t="s">
        <v>24</v>
      </c>
      <c r="G250" s="85">
        <v>350000</v>
      </c>
      <c r="H250" s="84">
        <v>25000</v>
      </c>
      <c r="I250" s="84">
        <f t="shared" si="196"/>
        <v>375000</v>
      </c>
      <c r="J250" s="84">
        <f t="shared" si="197"/>
        <v>700000</v>
      </c>
      <c r="K250" s="84">
        <f t="shared" si="198"/>
        <v>50000</v>
      </c>
      <c r="L250" s="84">
        <f t="shared" si="199"/>
        <v>750000</v>
      </c>
    </row>
    <row r="251" spans="1:12">
      <c r="A251" s="158">
        <f t="shared" ref="A251:A253" si="201">A250+1</f>
        <v>9</v>
      </c>
      <c r="B251" s="157" t="s">
        <v>119</v>
      </c>
      <c r="C251" s="81"/>
      <c r="D251" s="87"/>
      <c r="E251" s="191">
        <v>2</v>
      </c>
      <c r="F251" s="158" t="s">
        <v>32</v>
      </c>
      <c r="G251" s="85">
        <v>550000</v>
      </c>
      <c r="H251" s="84">
        <v>65000</v>
      </c>
      <c r="I251" s="84">
        <f t="shared" si="196"/>
        <v>615000</v>
      </c>
      <c r="J251" s="84">
        <f t="shared" si="197"/>
        <v>1100000</v>
      </c>
      <c r="K251" s="84">
        <f t="shared" si="198"/>
        <v>130000</v>
      </c>
      <c r="L251" s="84">
        <f t="shared" si="199"/>
        <v>1230000</v>
      </c>
    </row>
    <row r="252" spans="1:12">
      <c r="A252" s="158">
        <f t="shared" si="201"/>
        <v>10</v>
      </c>
      <c r="B252" s="157" t="s">
        <v>30</v>
      </c>
      <c r="C252" s="81"/>
      <c r="D252" s="87"/>
      <c r="E252" s="191">
        <v>3</v>
      </c>
      <c r="F252" s="158" t="s">
        <v>24</v>
      </c>
      <c r="G252" s="85">
        <v>75000</v>
      </c>
      <c r="H252" s="84">
        <v>10500</v>
      </c>
      <c r="I252" s="84">
        <f t="shared" si="196"/>
        <v>85500</v>
      </c>
      <c r="J252" s="84">
        <f t="shared" si="197"/>
        <v>225000</v>
      </c>
      <c r="K252" s="84">
        <f t="shared" si="198"/>
        <v>31500</v>
      </c>
      <c r="L252" s="84">
        <f t="shared" si="199"/>
        <v>256500</v>
      </c>
    </row>
    <row r="253" spans="1:12">
      <c r="A253" s="158">
        <f t="shared" si="201"/>
        <v>11</v>
      </c>
      <c r="B253" s="157" t="s">
        <v>51</v>
      </c>
      <c r="C253" s="81"/>
      <c r="D253" s="87"/>
      <c r="E253" s="191">
        <v>4</v>
      </c>
      <c r="F253" s="158" t="s">
        <v>24</v>
      </c>
      <c r="G253" s="85">
        <v>300000</v>
      </c>
      <c r="H253" s="84">
        <v>45000</v>
      </c>
      <c r="I253" s="84">
        <f t="shared" si="196"/>
        <v>345000</v>
      </c>
      <c r="J253" s="84">
        <f t="shared" si="197"/>
        <v>1200000</v>
      </c>
      <c r="K253" s="84">
        <f t="shared" si="198"/>
        <v>180000</v>
      </c>
      <c r="L253" s="84">
        <f t="shared" si="199"/>
        <v>1380000</v>
      </c>
    </row>
    <row r="254" spans="1:12">
      <c r="A254" s="158">
        <f t="shared" si="200"/>
        <v>12</v>
      </c>
      <c r="B254" s="157" t="s">
        <v>68</v>
      </c>
      <c r="C254" s="81"/>
      <c r="D254" s="87"/>
      <c r="E254" s="191">
        <v>2</v>
      </c>
      <c r="F254" s="158" t="s">
        <v>24</v>
      </c>
      <c r="G254" s="84">
        <f>245000</f>
        <v>245000</v>
      </c>
      <c r="H254" s="84">
        <v>45000</v>
      </c>
      <c r="I254" s="84">
        <f t="shared" si="196"/>
        <v>290000</v>
      </c>
      <c r="J254" s="84">
        <f t="shared" si="197"/>
        <v>490000</v>
      </c>
      <c r="K254" s="84">
        <f t="shared" si="198"/>
        <v>90000</v>
      </c>
      <c r="L254" s="84">
        <f t="shared" si="199"/>
        <v>580000</v>
      </c>
    </row>
    <row r="255" spans="1:12" ht="16.5" thickBot="1">
      <c r="A255" s="158">
        <f t="shared" si="200"/>
        <v>13</v>
      </c>
      <c r="B255" s="157" t="s">
        <v>28</v>
      </c>
      <c r="C255" s="81"/>
      <c r="D255" s="87"/>
      <c r="E255" s="194">
        <v>10</v>
      </c>
      <c r="F255" s="170" t="s">
        <v>24</v>
      </c>
      <c r="G255" s="125">
        <v>35000</v>
      </c>
      <c r="H255" s="126">
        <v>10500</v>
      </c>
      <c r="I255" s="126">
        <f t="shared" si="196"/>
        <v>45500</v>
      </c>
      <c r="J255" s="126">
        <f t="shared" si="197"/>
        <v>350000</v>
      </c>
      <c r="K255" s="126">
        <f t="shared" si="198"/>
        <v>105000</v>
      </c>
      <c r="L255" s="126">
        <f t="shared" si="199"/>
        <v>455000</v>
      </c>
    </row>
    <row r="256" spans="1:12" ht="16.5">
      <c r="A256" s="158"/>
      <c r="B256" s="157"/>
      <c r="C256" s="81"/>
      <c r="D256" s="87"/>
      <c r="E256" s="192"/>
      <c r="F256" s="162"/>
      <c r="G256" s="90"/>
      <c r="H256" s="88"/>
      <c r="I256" s="89"/>
      <c r="J256" s="89"/>
      <c r="K256" s="89"/>
      <c r="L256" s="89">
        <f>SUM(L243:L255)</f>
        <v>26927500</v>
      </c>
    </row>
    <row r="257" spans="1:12">
      <c r="A257" s="158"/>
      <c r="B257" s="157"/>
      <c r="C257" s="81"/>
      <c r="D257" s="87"/>
      <c r="E257" s="191"/>
      <c r="F257" s="158"/>
      <c r="G257" s="85"/>
      <c r="H257" s="84"/>
      <c r="I257" s="84"/>
      <c r="J257" s="84"/>
      <c r="K257" s="84"/>
      <c r="L257" s="84"/>
    </row>
    <row r="258" spans="1:12" ht="18.75">
      <c r="A258" s="113" t="s">
        <v>8</v>
      </c>
      <c r="B258" s="114" t="s">
        <v>207</v>
      </c>
      <c r="C258" s="81"/>
      <c r="D258" s="87"/>
      <c r="E258" s="191"/>
      <c r="F258" s="158"/>
      <c r="G258" s="85"/>
      <c r="H258" s="84"/>
      <c r="I258" s="84"/>
      <c r="J258" s="84"/>
      <c r="K258" s="84"/>
      <c r="L258" s="84"/>
    </row>
    <row r="259" spans="1:12" ht="16.5">
      <c r="A259" s="159" t="s">
        <v>2</v>
      </c>
      <c r="B259" s="156" t="s">
        <v>9</v>
      </c>
      <c r="C259" s="81"/>
      <c r="D259" s="87"/>
      <c r="E259" s="191"/>
      <c r="F259" s="158"/>
      <c r="G259" s="85"/>
      <c r="H259" s="84"/>
      <c r="I259" s="84"/>
      <c r="J259" s="84"/>
      <c r="K259" s="84"/>
      <c r="L259" s="84"/>
    </row>
    <row r="260" spans="1:12">
      <c r="A260" s="176">
        <v>1</v>
      </c>
      <c r="B260" s="157" t="s">
        <v>208</v>
      </c>
      <c r="C260" s="81"/>
      <c r="D260" s="87"/>
      <c r="E260" s="191">
        <f>90*0.15*0.4</f>
        <v>5.4</v>
      </c>
      <c r="F260" s="158" t="s">
        <v>23</v>
      </c>
      <c r="G260" s="85">
        <f>3850000</f>
        <v>3850000</v>
      </c>
      <c r="H260" s="84">
        <v>750000</v>
      </c>
      <c r="I260" s="84">
        <f t="shared" ref="I260:I269" si="202">H260+G260</f>
        <v>4600000</v>
      </c>
      <c r="J260" s="84">
        <f t="shared" ref="J260:J269" si="203">E260*G260</f>
        <v>20790000</v>
      </c>
      <c r="K260" s="84">
        <f t="shared" ref="K260:K269" si="204">E260*H260</f>
        <v>4050000.0000000005</v>
      </c>
      <c r="L260" s="84">
        <f t="shared" ref="L260:L269" si="205">K260+J260</f>
        <v>24840000</v>
      </c>
    </row>
    <row r="261" spans="1:12">
      <c r="A261" s="176">
        <f>A260+1</f>
        <v>2</v>
      </c>
      <c r="B261" s="157" t="s">
        <v>209</v>
      </c>
      <c r="C261" s="81"/>
      <c r="D261" s="87"/>
      <c r="E261" s="191">
        <f>9*0.15*0.35</f>
        <v>0.47249999999999992</v>
      </c>
      <c r="F261" s="158" t="s">
        <v>23</v>
      </c>
      <c r="G261" s="85">
        <f t="shared" ref="G261" si="206">3850000</f>
        <v>3850000</v>
      </c>
      <c r="H261" s="84">
        <v>750000</v>
      </c>
      <c r="I261" s="84">
        <f t="shared" ref="I261:I262" si="207">H261+G261</f>
        <v>4600000</v>
      </c>
      <c r="J261" s="84">
        <f t="shared" ref="J261:J262" si="208">E261*G261</f>
        <v>1819124.9999999998</v>
      </c>
      <c r="K261" s="84">
        <f t="shared" ref="K261:K262" si="209">E261*H261</f>
        <v>354374.99999999994</v>
      </c>
      <c r="L261" s="84">
        <f t="shared" ref="L261:L262" si="210">K261+J261</f>
        <v>2173499.9999999995</v>
      </c>
    </row>
    <row r="262" spans="1:12">
      <c r="A262" s="176">
        <f t="shared" ref="A262:A265" si="211">A261+1</f>
        <v>3</v>
      </c>
      <c r="B262" s="157" t="s">
        <v>220</v>
      </c>
      <c r="C262" s="81"/>
      <c r="D262" s="87"/>
      <c r="E262" s="191">
        <f>47*0.15*0.3</f>
        <v>2.1149999999999998</v>
      </c>
      <c r="F262" s="158" t="s">
        <v>23</v>
      </c>
      <c r="G262" s="85">
        <f>3850000</f>
        <v>3850000</v>
      </c>
      <c r="H262" s="84">
        <v>750000</v>
      </c>
      <c r="I262" s="84">
        <f t="shared" si="207"/>
        <v>4600000</v>
      </c>
      <c r="J262" s="84">
        <f t="shared" si="208"/>
        <v>8142749.9999999991</v>
      </c>
      <c r="K262" s="84">
        <f t="shared" si="209"/>
        <v>1586249.9999999998</v>
      </c>
      <c r="L262" s="84">
        <f t="shared" si="210"/>
        <v>9728999.9999999981</v>
      </c>
    </row>
    <row r="263" spans="1:12">
      <c r="A263" s="176">
        <f t="shared" si="211"/>
        <v>4</v>
      </c>
      <c r="B263" s="157" t="s">
        <v>87</v>
      </c>
      <c r="C263" s="81"/>
      <c r="D263" s="145"/>
      <c r="E263" s="191">
        <f>46*0.12</f>
        <v>5.52</v>
      </c>
      <c r="F263" s="158" t="s">
        <v>23</v>
      </c>
      <c r="G263" s="85">
        <v>3400000</v>
      </c>
      <c r="H263" s="84">
        <v>550000</v>
      </c>
      <c r="I263" s="84">
        <f t="shared" si="202"/>
        <v>3950000</v>
      </c>
      <c r="J263" s="84">
        <f t="shared" si="203"/>
        <v>18768000</v>
      </c>
      <c r="K263" s="84">
        <f t="shared" si="204"/>
        <v>3035999.9999999995</v>
      </c>
      <c r="L263" s="84">
        <f t="shared" si="205"/>
        <v>21804000</v>
      </c>
    </row>
    <row r="264" spans="1:12">
      <c r="A264" s="176">
        <f t="shared" si="211"/>
        <v>5</v>
      </c>
      <c r="B264" s="157" t="s">
        <v>157</v>
      </c>
      <c r="C264" s="81"/>
      <c r="D264" s="87"/>
      <c r="E264" s="191">
        <f>(0.15*0.5*4.5)*11</f>
        <v>3.7124999999999995</v>
      </c>
      <c r="F264" s="158" t="s">
        <v>23</v>
      </c>
      <c r="G264" s="85">
        <v>3750000</v>
      </c>
      <c r="H264" s="84">
        <v>650000</v>
      </c>
      <c r="I264" s="84">
        <f t="shared" si="202"/>
        <v>4400000</v>
      </c>
      <c r="J264" s="84">
        <f t="shared" si="203"/>
        <v>13921874.999999998</v>
      </c>
      <c r="K264" s="84">
        <f t="shared" si="204"/>
        <v>2413124.9999999995</v>
      </c>
      <c r="L264" s="84">
        <f t="shared" si="205"/>
        <v>16334999.999999998</v>
      </c>
    </row>
    <row r="265" spans="1:12">
      <c r="A265" s="176">
        <f t="shared" si="211"/>
        <v>6</v>
      </c>
      <c r="B265" s="157" t="s">
        <v>158</v>
      </c>
      <c r="C265" s="81"/>
      <c r="D265" s="87"/>
      <c r="E265" s="191">
        <f>(0.15*0.4*4.5)*3</f>
        <v>0.81</v>
      </c>
      <c r="F265" s="158" t="s">
        <v>23</v>
      </c>
      <c r="G265" s="85">
        <v>3750000</v>
      </c>
      <c r="H265" s="84">
        <v>650000</v>
      </c>
      <c r="I265" s="84">
        <f t="shared" si="202"/>
        <v>4400000</v>
      </c>
      <c r="J265" s="84">
        <f t="shared" si="203"/>
        <v>3037500</v>
      </c>
      <c r="K265" s="84">
        <f t="shared" si="204"/>
        <v>526500</v>
      </c>
      <c r="L265" s="84">
        <f t="shared" si="205"/>
        <v>3564000</v>
      </c>
    </row>
    <row r="266" spans="1:12">
      <c r="A266" s="176">
        <f t="shared" ref="A266:A267" si="212">A265+1</f>
        <v>7</v>
      </c>
      <c r="B266" s="157" t="s">
        <v>159</v>
      </c>
      <c r="C266" s="81"/>
      <c r="D266" s="87"/>
      <c r="E266" s="191">
        <f>22*4</f>
        <v>88</v>
      </c>
      <c r="F266" s="158" t="s">
        <v>21</v>
      </c>
      <c r="G266" s="85">
        <v>85000</v>
      </c>
      <c r="H266" s="84">
        <v>25000</v>
      </c>
      <c r="I266" s="84">
        <f t="shared" ref="I266" si="213">H266+G266</f>
        <v>110000</v>
      </c>
      <c r="J266" s="84">
        <f t="shared" ref="J266" si="214">E266*G266</f>
        <v>7480000</v>
      </c>
      <c r="K266" s="84">
        <f t="shared" ref="K266" si="215">E266*H266</f>
        <v>2200000</v>
      </c>
      <c r="L266" s="84">
        <f t="shared" ref="L266" si="216">K266+J266</f>
        <v>9680000</v>
      </c>
    </row>
    <row r="267" spans="1:12">
      <c r="A267" s="176">
        <f t="shared" si="212"/>
        <v>8</v>
      </c>
      <c r="B267" s="157" t="s">
        <v>167</v>
      </c>
      <c r="C267" s="81"/>
      <c r="D267" s="87"/>
      <c r="E267" s="191">
        <f>13*2.25</f>
        <v>29.25</v>
      </c>
      <c r="F267" s="158" t="s">
        <v>21</v>
      </c>
      <c r="G267" s="85">
        <v>85000</v>
      </c>
      <c r="H267" s="84">
        <v>25000</v>
      </c>
      <c r="I267" s="84">
        <f t="shared" si="202"/>
        <v>110000</v>
      </c>
      <c r="J267" s="84">
        <f t="shared" si="203"/>
        <v>2486250</v>
      </c>
      <c r="K267" s="84">
        <f t="shared" si="204"/>
        <v>731250</v>
      </c>
      <c r="L267" s="84">
        <f t="shared" si="205"/>
        <v>3217500</v>
      </c>
    </row>
    <row r="268" spans="1:12">
      <c r="A268" s="176">
        <f t="shared" ref="A268" si="217">A267+1</f>
        <v>9</v>
      </c>
      <c r="B268" s="157" t="s">
        <v>129</v>
      </c>
      <c r="C268" s="81"/>
      <c r="D268" s="124"/>
      <c r="E268" s="191">
        <f>0.1*30</f>
        <v>3</v>
      </c>
      <c r="F268" s="132" t="s">
        <v>23</v>
      </c>
      <c r="G268" s="85">
        <v>3450000</v>
      </c>
      <c r="H268" s="84">
        <v>650000</v>
      </c>
      <c r="I268" s="84">
        <f t="shared" si="202"/>
        <v>4100000</v>
      </c>
      <c r="J268" s="84">
        <f t="shared" si="203"/>
        <v>10350000</v>
      </c>
      <c r="K268" s="84">
        <f t="shared" si="204"/>
        <v>1950000</v>
      </c>
      <c r="L268" s="84">
        <f t="shared" si="205"/>
        <v>12300000</v>
      </c>
    </row>
    <row r="269" spans="1:12" ht="16.5" thickBot="1">
      <c r="A269" s="176">
        <f t="shared" ref="A269" si="218">A268+1</f>
        <v>10</v>
      </c>
      <c r="B269" s="157" t="s">
        <v>63</v>
      </c>
      <c r="C269" s="81"/>
      <c r="D269" s="87"/>
      <c r="E269" s="194">
        <f>15*10*1.65</f>
        <v>247.5</v>
      </c>
      <c r="F269" s="170" t="s">
        <v>22</v>
      </c>
      <c r="G269" s="125">
        <v>17000</v>
      </c>
      <c r="H269" s="126">
        <v>12000</v>
      </c>
      <c r="I269" s="126">
        <f t="shared" si="202"/>
        <v>29000</v>
      </c>
      <c r="J269" s="126">
        <f t="shared" si="203"/>
        <v>4207500</v>
      </c>
      <c r="K269" s="126">
        <f t="shared" si="204"/>
        <v>2970000</v>
      </c>
      <c r="L269" s="126">
        <f t="shared" si="205"/>
        <v>7177500</v>
      </c>
    </row>
    <row r="270" spans="1:12" ht="16.5">
      <c r="A270" s="158"/>
      <c r="B270" s="157"/>
      <c r="C270" s="81"/>
      <c r="D270" s="87"/>
      <c r="E270" s="192"/>
      <c r="F270" s="162"/>
      <c r="G270" s="90"/>
      <c r="H270" s="88"/>
      <c r="I270" s="89"/>
      <c r="J270" s="89"/>
      <c r="K270" s="89"/>
      <c r="L270" s="89">
        <f>SUM(L260:L269)</f>
        <v>110820500</v>
      </c>
    </row>
    <row r="271" spans="1:12" ht="16.5">
      <c r="A271" s="158"/>
      <c r="B271" s="157"/>
      <c r="C271" s="81"/>
      <c r="D271" s="87"/>
      <c r="E271" s="192"/>
      <c r="F271" s="162"/>
      <c r="G271" s="90"/>
      <c r="H271" s="88"/>
      <c r="I271" s="89"/>
      <c r="J271" s="89"/>
      <c r="K271" s="89"/>
      <c r="L271" s="89"/>
    </row>
    <row r="272" spans="1:12" ht="16.5">
      <c r="A272" s="159" t="s">
        <v>4</v>
      </c>
      <c r="B272" s="156" t="s">
        <v>89</v>
      </c>
      <c r="C272" s="81"/>
      <c r="D272" s="87"/>
      <c r="E272" s="191"/>
      <c r="F272" s="158"/>
      <c r="G272" s="85"/>
      <c r="H272" s="84"/>
      <c r="I272" s="84"/>
      <c r="J272" s="84"/>
      <c r="K272" s="84"/>
      <c r="L272" s="84"/>
    </row>
    <row r="273" spans="1:12">
      <c r="A273" s="158">
        <v>1</v>
      </c>
      <c r="B273" s="157" t="s">
        <v>134</v>
      </c>
      <c r="C273" s="81"/>
      <c r="D273" s="87"/>
      <c r="E273" s="191">
        <f>(28*2.85)-(7*2.25)</f>
        <v>64.05</v>
      </c>
      <c r="F273" s="158" t="s">
        <v>22</v>
      </c>
      <c r="G273" s="85">
        <f>92500</f>
        <v>92500</v>
      </c>
      <c r="H273" s="84">
        <v>48000</v>
      </c>
      <c r="I273" s="84">
        <f t="shared" ref="I273:I283" si="219">H273+G273</f>
        <v>140500</v>
      </c>
      <c r="J273" s="84">
        <f t="shared" ref="J273:J283" si="220">E273*G273</f>
        <v>5924625</v>
      </c>
      <c r="K273" s="84">
        <f t="shared" ref="K273:K283" si="221">E273*H273</f>
        <v>3074400</v>
      </c>
      <c r="L273" s="84">
        <f t="shared" ref="L273:L283" si="222">K273+J273</f>
        <v>8999025</v>
      </c>
    </row>
    <row r="274" spans="1:12">
      <c r="A274" s="158">
        <f>A273+1</f>
        <v>2</v>
      </c>
      <c r="B274" s="157" t="s">
        <v>135</v>
      </c>
      <c r="C274" s="81"/>
      <c r="D274" s="87"/>
      <c r="E274" s="191">
        <f>((28*2.85)-(7*2.25))*1.85</f>
        <v>118.49250000000001</v>
      </c>
      <c r="F274" s="158" t="s">
        <v>22</v>
      </c>
      <c r="G274" s="85">
        <v>30000</v>
      </c>
      <c r="H274" s="84">
        <v>27000</v>
      </c>
      <c r="I274" s="84">
        <f t="shared" si="219"/>
        <v>57000</v>
      </c>
      <c r="J274" s="84">
        <f t="shared" si="220"/>
        <v>3554775</v>
      </c>
      <c r="K274" s="84">
        <f t="shared" si="221"/>
        <v>3199297.5</v>
      </c>
      <c r="L274" s="84">
        <f t="shared" si="222"/>
        <v>6754072.5</v>
      </c>
    </row>
    <row r="275" spans="1:12">
      <c r="A275" s="158">
        <f t="shared" ref="A275:A283" si="223">A274+1</f>
        <v>3</v>
      </c>
      <c r="B275" s="157" t="s">
        <v>27</v>
      </c>
      <c r="C275" s="81"/>
      <c r="D275" s="87"/>
      <c r="E275" s="191">
        <f>((28*2.85)-(7*2.25))*1.85</f>
        <v>118.49250000000001</v>
      </c>
      <c r="F275" s="158" t="s">
        <v>22</v>
      </c>
      <c r="G275" s="85">
        <v>20000</v>
      </c>
      <c r="H275" s="84">
        <v>16000</v>
      </c>
      <c r="I275" s="84">
        <f t="shared" si="219"/>
        <v>36000</v>
      </c>
      <c r="J275" s="84">
        <f t="shared" si="220"/>
        <v>2369850</v>
      </c>
      <c r="K275" s="84">
        <f t="shared" si="221"/>
        <v>1895880</v>
      </c>
      <c r="L275" s="84">
        <f t="shared" si="222"/>
        <v>4265730</v>
      </c>
    </row>
    <row r="276" spans="1:12">
      <c r="A276" s="158">
        <f t="shared" si="223"/>
        <v>4</v>
      </c>
      <c r="B276" s="157" t="s">
        <v>102</v>
      </c>
      <c r="C276" s="81"/>
      <c r="D276" s="87"/>
      <c r="E276" s="191">
        <f>E275*0.75</f>
        <v>88.869375000000005</v>
      </c>
      <c r="F276" s="158" t="s">
        <v>21</v>
      </c>
      <c r="G276" s="85">
        <v>4000</v>
      </c>
      <c r="H276" s="84">
        <v>6000</v>
      </c>
      <c r="I276" s="84">
        <f t="shared" si="219"/>
        <v>10000</v>
      </c>
      <c r="J276" s="84">
        <f t="shared" si="220"/>
        <v>355477.5</v>
      </c>
      <c r="K276" s="84">
        <f t="shared" si="221"/>
        <v>533216.25</v>
      </c>
      <c r="L276" s="84">
        <f t="shared" si="222"/>
        <v>888693.75</v>
      </c>
    </row>
    <row r="277" spans="1:12">
      <c r="A277" s="176">
        <f t="shared" si="223"/>
        <v>5</v>
      </c>
      <c r="B277" s="157" t="s">
        <v>161</v>
      </c>
      <c r="C277" s="81"/>
      <c r="D277" s="87"/>
      <c r="E277" s="191">
        <f>((6*2.4)-((2.4*0.72)*1))</f>
        <v>12.671999999999999</v>
      </c>
      <c r="F277" s="158" t="s">
        <v>22</v>
      </c>
      <c r="G277" s="85">
        <v>215000</v>
      </c>
      <c r="H277" s="84">
        <v>75000</v>
      </c>
      <c r="I277" s="84">
        <f t="shared" si="219"/>
        <v>290000</v>
      </c>
      <c r="J277" s="84">
        <f t="shared" si="220"/>
        <v>2724479.9999999995</v>
      </c>
      <c r="K277" s="84">
        <f t="shared" si="221"/>
        <v>950399.99999999988</v>
      </c>
      <c r="L277" s="84">
        <f t="shared" si="222"/>
        <v>3674879.9999999995</v>
      </c>
    </row>
    <row r="278" spans="1:12">
      <c r="A278" s="176">
        <f t="shared" si="223"/>
        <v>6</v>
      </c>
      <c r="B278" s="157" t="s">
        <v>162</v>
      </c>
      <c r="C278" s="81"/>
      <c r="D278" s="87"/>
      <c r="E278" s="191">
        <f>3</f>
        <v>3</v>
      </c>
      <c r="F278" s="158" t="s">
        <v>22</v>
      </c>
      <c r="G278" s="85">
        <v>215000</v>
      </c>
      <c r="H278" s="84">
        <v>65000</v>
      </c>
      <c r="I278" s="84">
        <f t="shared" si="219"/>
        <v>280000</v>
      </c>
      <c r="J278" s="84">
        <f t="shared" si="220"/>
        <v>645000</v>
      </c>
      <c r="K278" s="84">
        <f t="shared" si="221"/>
        <v>195000</v>
      </c>
      <c r="L278" s="84">
        <f t="shared" si="222"/>
        <v>840000</v>
      </c>
    </row>
    <row r="279" spans="1:12">
      <c r="A279" s="176">
        <f t="shared" si="223"/>
        <v>7</v>
      </c>
      <c r="B279" s="157" t="s">
        <v>221</v>
      </c>
      <c r="C279" s="81"/>
      <c r="D279" s="87"/>
      <c r="E279" s="191">
        <f>8</f>
        <v>8</v>
      </c>
      <c r="F279" s="158" t="s">
        <v>22</v>
      </c>
      <c r="G279" s="85">
        <v>215000</v>
      </c>
      <c r="H279" s="84">
        <v>65000</v>
      </c>
      <c r="I279" s="84">
        <f t="shared" ref="I279" si="224">H279+G279</f>
        <v>280000</v>
      </c>
      <c r="J279" s="84">
        <f t="shared" ref="J279" si="225">E279*G279</f>
        <v>1720000</v>
      </c>
      <c r="K279" s="84">
        <f t="shared" ref="K279" si="226">E279*H279</f>
        <v>520000</v>
      </c>
      <c r="L279" s="84">
        <f t="shared" ref="L279" si="227">K279+J279</f>
        <v>2240000</v>
      </c>
    </row>
    <row r="280" spans="1:12">
      <c r="A280" s="176">
        <f t="shared" si="223"/>
        <v>8</v>
      </c>
      <c r="B280" s="157" t="s">
        <v>171</v>
      </c>
      <c r="C280" s="81"/>
      <c r="D280" s="87"/>
      <c r="E280" s="191">
        <v>18</v>
      </c>
      <c r="F280" s="158" t="s">
        <v>22</v>
      </c>
      <c r="G280" s="85">
        <v>215000</v>
      </c>
      <c r="H280" s="84">
        <v>65000</v>
      </c>
      <c r="I280" s="84">
        <f t="shared" ref="I280" si="228">H280+G280</f>
        <v>280000</v>
      </c>
      <c r="J280" s="84">
        <f t="shared" ref="J280" si="229">E280*G280</f>
        <v>3870000</v>
      </c>
      <c r="K280" s="84">
        <f t="shared" ref="K280" si="230">E280*H280</f>
        <v>1170000</v>
      </c>
      <c r="L280" s="84">
        <f t="shared" ref="L280" si="231">K280+J280</f>
        <v>5040000</v>
      </c>
    </row>
    <row r="281" spans="1:12">
      <c r="A281" s="176">
        <f t="shared" si="223"/>
        <v>9</v>
      </c>
      <c r="B281" s="157" t="s">
        <v>139</v>
      </c>
      <c r="C281" s="81"/>
      <c r="D281" s="87"/>
      <c r="E281" s="191">
        <f>1.2*16</f>
        <v>19.2</v>
      </c>
      <c r="F281" s="158" t="s">
        <v>21</v>
      </c>
      <c r="G281" s="85">
        <v>325000</v>
      </c>
      <c r="H281" s="84">
        <v>85000</v>
      </c>
      <c r="I281" s="84">
        <f t="shared" si="219"/>
        <v>410000</v>
      </c>
      <c r="J281" s="84">
        <f t="shared" si="220"/>
        <v>6240000</v>
      </c>
      <c r="K281" s="84">
        <f t="shared" si="221"/>
        <v>1632000</v>
      </c>
      <c r="L281" s="84">
        <f t="shared" si="222"/>
        <v>7872000</v>
      </c>
    </row>
    <row r="282" spans="1:12">
      <c r="A282" s="176">
        <f t="shared" si="223"/>
        <v>10</v>
      </c>
      <c r="B282" s="157" t="s">
        <v>140</v>
      </c>
      <c r="C282" s="81"/>
      <c r="D282" s="87"/>
      <c r="E282" s="191">
        <f>1.2*16</f>
        <v>19.2</v>
      </c>
      <c r="F282" s="158" t="s">
        <v>21</v>
      </c>
      <c r="G282" s="85">
        <v>65000</v>
      </c>
      <c r="H282" s="84">
        <v>25000</v>
      </c>
      <c r="I282" s="84">
        <f t="shared" si="219"/>
        <v>90000</v>
      </c>
      <c r="J282" s="84">
        <f t="shared" si="220"/>
        <v>1248000</v>
      </c>
      <c r="K282" s="84">
        <f t="shared" si="221"/>
        <v>480000</v>
      </c>
      <c r="L282" s="84">
        <f t="shared" si="222"/>
        <v>1728000</v>
      </c>
    </row>
    <row r="283" spans="1:12" ht="16.5" thickBot="1">
      <c r="A283" s="158">
        <f t="shared" si="223"/>
        <v>11</v>
      </c>
      <c r="B283" s="157" t="s">
        <v>141</v>
      </c>
      <c r="C283" s="81"/>
      <c r="D283" s="87"/>
      <c r="E283" s="194">
        <f>E279+E280</f>
        <v>26</v>
      </c>
      <c r="F283" s="170" t="s">
        <v>21</v>
      </c>
      <c r="G283" s="125">
        <v>55000</v>
      </c>
      <c r="H283" s="126">
        <v>15000</v>
      </c>
      <c r="I283" s="126">
        <f t="shared" si="219"/>
        <v>70000</v>
      </c>
      <c r="J283" s="126">
        <f t="shared" si="220"/>
        <v>1430000</v>
      </c>
      <c r="K283" s="126">
        <f t="shared" si="221"/>
        <v>390000</v>
      </c>
      <c r="L283" s="126">
        <f t="shared" si="222"/>
        <v>1820000</v>
      </c>
    </row>
    <row r="284" spans="1:12" ht="16.5">
      <c r="A284" s="158"/>
      <c r="B284" s="157"/>
      <c r="C284" s="81"/>
      <c r="D284" s="87"/>
      <c r="E284" s="192"/>
      <c r="F284" s="162"/>
      <c r="G284" s="90"/>
      <c r="H284" s="88"/>
      <c r="I284" s="89"/>
      <c r="J284" s="89"/>
      <c r="K284" s="89"/>
      <c r="L284" s="89">
        <f>SUM(L273:L283)</f>
        <v>44122401.25</v>
      </c>
    </row>
    <row r="285" spans="1:12" ht="16.5">
      <c r="A285" s="158"/>
      <c r="B285" s="157"/>
      <c r="C285" s="81"/>
      <c r="D285" s="87"/>
      <c r="E285" s="192"/>
      <c r="F285" s="162"/>
      <c r="G285" s="90"/>
      <c r="H285" s="88"/>
      <c r="I285" s="89"/>
      <c r="J285" s="89"/>
      <c r="K285" s="89"/>
      <c r="L285" s="89"/>
    </row>
    <row r="286" spans="1:12" ht="16.5">
      <c r="A286" s="159" t="s">
        <v>8</v>
      </c>
      <c r="B286" s="156" t="s">
        <v>13</v>
      </c>
      <c r="C286" s="81"/>
      <c r="D286" s="87"/>
      <c r="E286" s="191"/>
      <c r="F286" s="158"/>
      <c r="G286" s="85"/>
      <c r="H286" s="84"/>
      <c r="I286" s="84"/>
      <c r="J286" s="84"/>
      <c r="K286" s="84"/>
      <c r="L286" s="84"/>
    </row>
    <row r="287" spans="1:12">
      <c r="A287" s="158">
        <v>1</v>
      </c>
      <c r="B287" s="157" t="s">
        <v>148</v>
      </c>
      <c r="C287" s="81"/>
      <c r="D287" s="87"/>
      <c r="E287" s="191">
        <v>21</v>
      </c>
      <c r="F287" s="158" t="s">
        <v>21</v>
      </c>
      <c r="G287" s="85">
        <v>165000</v>
      </c>
      <c r="H287" s="84">
        <v>25000</v>
      </c>
      <c r="I287" s="84">
        <f t="shared" ref="I287:I288" si="232">H287+G287</f>
        <v>190000</v>
      </c>
      <c r="J287" s="84">
        <f t="shared" ref="J287:J288" si="233">E287*G287</f>
        <v>3465000</v>
      </c>
      <c r="K287" s="84">
        <f t="shared" ref="K287:K288" si="234">E287*H287</f>
        <v>525000</v>
      </c>
      <c r="L287" s="84">
        <f t="shared" ref="L287:L288" si="235">K287+J287</f>
        <v>3990000</v>
      </c>
    </row>
    <row r="288" spans="1:12">
      <c r="A288" s="158">
        <f t="shared" ref="A288:A293" si="236">A287+1</f>
        <v>2</v>
      </c>
      <c r="B288" s="157" t="s">
        <v>222</v>
      </c>
      <c r="C288" s="81"/>
      <c r="D288" s="87"/>
      <c r="E288" s="191">
        <v>2</v>
      </c>
      <c r="F288" s="158" t="s">
        <v>24</v>
      </c>
      <c r="G288" s="85">
        <v>1850000</v>
      </c>
      <c r="H288" s="84">
        <v>150000</v>
      </c>
      <c r="I288" s="84">
        <f t="shared" si="232"/>
        <v>2000000</v>
      </c>
      <c r="J288" s="84">
        <f t="shared" si="233"/>
        <v>3700000</v>
      </c>
      <c r="K288" s="84">
        <f t="shared" si="234"/>
        <v>300000</v>
      </c>
      <c r="L288" s="84">
        <f t="shared" si="235"/>
        <v>4000000</v>
      </c>
    </row>
    <row r="289" spans="1:12">
      <c r="A289" s="158">
        <f t="shared" si="236"/>
        <v>3</v>
      </c>
      <c r="B289" s="157" t="s">
        <v>223</v>
      </c>
      <c r="C289" s="81"/>
      <c r="D289" s="87"/>
      <c r="E289" s="191">
        <v>1</v>
      </c>
      <c r="F289" s="158" t="s">
        <v>24</v>
      </c>
      <c r="G289" s="85">
        <v>1750000</v>
      </c>
      <c r="H289" s="84">
        <v>150000</v>
      </c>
      <c r="I289" s="84">
        <f t="shared" ref="I289:I293" si="237">H289+G289</f>
        <v>1900000</v>
      </c>
      <c r="J289" s="84">
        <f t="shared" ref="J289:J293" si="238">E289*G289</f>
        <v>1750000</v>
      </c>
      <c r="K289" s="84">
        <f t="shared" ref="K289:K293" si="239">E289*H289</f>
        <v>150000</v>
      </c>
      <c r="L289" s="84">
        <f t="shared" ref="L289:L293" si="240">K289+J289</f>
        <v>1900000</v>
      </c>
    </row>
    <row r="290" spans="1:12">
      <c r="A290" s="158">
        <f t="shared" si="236"/>
        <v>4</v>
      </c>
      <c r="B290" s="157" t="s">
        <v>224</v>
      </c>
      <c r="C290" s="81"/>
      <c r="D290" s="87"/>
      <c r="E290" s="191">
        <f t="shared" ref="E290:E292" si="241">1.24</f>
        <v>1.24</v>
      </c>
      <c r="F290" s="158" t="s">
        <v>22</v>
      </c>
      <c r="G290" s="85">
        <v>345000</v>
      </c>
      <c r="H290" s="84">
        <v>45000</v>
      </c>
      <c r="I290" s="84">
        <f t="shared" si="237"/>
        <v>390000</v>
      </c>
      <c r="J290" s="84">
        <f t="shared" si="238"/>
        <v>427800</v>
      </c>
      <c r="K290" s="84">
        <f t="shared" si="239"/>
        <v>55800</v>
      </c>
      <c r="L290" s="84">
        <f t="shared" si="240"/>
        <v>483600</v>
      </c>
    </row>
    <row r="291" spans="1:12">
      <c r="A291" s="158">
        <f t="shared" si="236"/>
        <v>5</v>
      </c>
      <c r="B291" s="157" t="s">
        <v>225</v>
      </c>
      <c r="C291" s="81"/>
      <c r="D291" s="87"/>
      <c r="E291" s="191">
        <f t="shared" si="241"/>
        <v>1.24</v>
      </c>
      <c r="F291" s="158" t="s">
        <v>22</v>
      </c>
      <c r="G291" s="85">
        <v>345000</v>
      </c>
      <c r="H291" s="84">
        <v>45000</v>
      </c>
      <c r="I291" s="84">
        <f t="shared" si="237"/>
        <v>390000</v>
      </c>
      <c r="J291" s="84">
        <f t="shared" si="238"/>
        <v>427800</v>
      </c>
      <c r="K291" s="84">
        <f t="shared" si="239"/>
        <v>55800</v>
      </c>
      <c r="L291" s="84">
        <f t="shared" si="240"/>
        <v>483600</v>
      </c>
    </row>
    <row r="292" spans="1:12">
      <c r="A292" s="158">
        <f t="shared" si="236"/>
        <v>6</v>
      </c>
      <c r="B292" s="157" t="s">
        <v>226</v>
      </c>
      <c r="C292" s="81"/>
      <c r="D292" s="87"/>
      <c r="E292" s="191">
        <f t="shared" si="241"/>
        <v>1.24</v>
      </c>
      <c r="F292" s="158" t="s">
        <v>22</v>
      </c>
      <c r="G292" s="85">
        <v>345000</v>
      </c>
      <c r="H292" s="84">
        <v>45000</v>
      </c>
      <c r="I292" s="84">
        <f t="shared" si="237"/>
        <v>390000</v>
      </c>
      <c r="J292" s="84">
        <f t="shared" si="238"/>
        <v>427800</v>
      </c>
      <c r="K292" s="84">
        <f t="shared" si="239"/>
        <v>55800</v>
      </c>
      <c r="L292" s="84">
        <f t="shared" si="240"/>
        <v>483600</v>
      </c>
    </row>
    <row r="293" spans="1:12" ht="16.5" thickBot="1">
      <c r="A293" s="158">
        <f t="shared" si="236"/>
        <v>7</v>
      </c>
      <c r="B293" s="157" t="s">
        <v>227</v>
      </c>
      <c r="C293" s="81"/>
      <c r="D293" s="87"/>
      <c r="E293" s="194">
        <f>1.24</f>
        <v>1.24</v>
      </c>
      <c r="F293" s="170" t="s">
        <v>22</v>
      </c>
      <c r="G293" s="125">
        <v>345000</v>
      </c>
      <c r="H293" s="126">
        <v>45000</v>
      </c>
      <c r="I293" s="126">
        <f t="shared" si="237"/>
        <v>390000</v>
      </c>
      <c r="J293" s="126">
        <f t="shared" si="238"/>
        <v>427800</v>
      </c>
      <c r="K293" s="126">
        <f t="shared" si="239"/>
        <v>55800</v>
      </c>
      <c r="L293" s="126">
        <f t="shared" si="240"/>
        <v>483600</v>
      </c>
    </row>
    <row r="294" spans="1:12" ht="16.5">
      <c r="A294" s="158"/>
      <c r="B294" s="91"/>
      <c r="C294" s="81"/>
      <c r="D294" s="87"/>
      <c r="E294" s="192"/>
      <c r="F294" s="162"/>
      <c r="G294" s="90"/>
      <c r="H294" s="88"/>
      <c r="I294" s="89"/>
      <c r="J294" s="89"/>
      <c r="K294" s="89"/>
      <c r="L294" s="89">
        <f>SUM(L287:L293)</f>
        <v>11824400</v>
      </c>
    </row>
    <row r="295" spans="1:12">
      <c r="A295" s="158"/>
      <c r="B295" s="91"/>
      <c r="C295" s="81"/>
      <c r="D295" s="87"/>
      <c r="E295" s="191"/>
      <c r="F295" s="158"/>
      <c r="G295" s="85"/>
      <c r="H295" s="84"/>
      <c r="I295" s="84"/>
      <c r="J295" s="84"/>
      <c r="K295" s="84"/>
      <c r="L295" s="84"/>
    </row>
    <row r="296" spans="1:12" ht="16.5">
      <c r="A296" s="159" t="s">
        <v>10</v>
      </c>
      <c r="B296" s="160" t="s">
        <v>53</v>
      </c>
      <c r="C296" s="81"/>
      <c r="D296" s="87"/>
      <c r="E296" s="96"/>
      <c r="F296" s="161"/>
      <c r="G296" s="85"/>
      <c r="H296" s="84"/>
      <c r="I296" s="84"/>
      <c r="J296" s="84"/>
      <c r="K296" s="84"/>
      <c r="L296" s="84"/>
    </row>
    <row r="297" spans="1:12">
      <c r="A297" s="158">
        <v>1</v>
      </c>
      <c r="B297" s="169" t="s">
        <v>91</v>
      </c>
      <c r="C297" s="81"/>
      <c r="D297" s="87"/>
      <c r="E297" s="202">
        <v>3</v>
      </c>
      <c r="F297" s="161" t="s">
        <v>24</v>
      </c>
      <c r="G297" s="84">
        <v>425000</v>
      </c>
      <c r="H297" s="84">
        <v>35000</v>
      </c>
      <c r="I297" s="84">
        <f t="shared" ref="I297:I301" si="242">H297+G297</f>
        <v>460000</v>
      </c>
      <c r="J297" s="84">
        <f t="shared" ref="J297:J301" si="243">E297*G297</f>
        <v>1275000</v>
      </c>
      <c r="K297" s="84">
        <f t="shared" ref="K297:K301" si="244">E297*H297</f>
        <v>105000</v>
      </c>
      <c r="L297" s="84">
        <f t="shared" ref="L297:L301" si="245">K297+J297</f>
        <v>1380000</v>
      </c>
    </row>
    <row r="298" spans="1:12">
      <c r="A298" s="158">
        <f>A297+1</f>
        <v>2</v>
      </c>
      <c r="B298" s="169" t="s">
        <v>92</v>
      </c>
      <c r="C298" s="81"/>
      <c r="D298" s="87"/>
      <c r="E298" s="202">
        <v>3</v>
      </c>
      <c r="F298" s="161" t="s">
        <v>24</v>
      </c>
      <c r="G298" s="90">
        <v>275000</v>
      </c>
      <c r="H298" s="84">
        <v>45000</v>
      </c>
      <c r="I298" s="84">
        <f t="shared" si="242"/>
        <v>320000</v>
      </c>
      <c r="J298" s="84">
        <f t="shared" si="243"/>
        <v>825000</v>
      </c>
      <c r="K298" s="84">
        <f t="shared" si="244"/>
        <v>135000</v>
      </c>
      <c r="L298" s="84">
        <f t="shared" si="245"/>
        <v>960000</v>
      </c>
    </row>
    <row r="299" spans="1:12">
      <c r="A299" s="158">
        <f t="shared" ref="A299:A301" si="246">A298+1</f>
        <v>3</v>
      </c>
      <c r="B299" s="169" t="s">
        <v>142</v>
      </c>
      <c r="C299" s="81"/>
      <c r="D299" s="87"/>
      <c r="E299" s="202">
        <v>3</v>
      </c>
      <c r="F299" s="161" t="s">
        <v>32</v>
      </c>
      <c r="G299" s="90">
        <v>225000</v>
      </c>
      <c r="H299" s="84">
        <v>45000</v>
      </c>
      <c r="I299" s="84">
        <f t="shared" si="242"/>
        <v>270000</v>
      </c>
      <c r="J299" s="84">
        <f t="shared" si="243"/>
        <v>675000</v>
      </c>
      <c r="K299" s="84">
        <f t="shared" si="244"/>
        <v>135000</v>
      </c>
      <c r="L299" s="84">
        <f t="shared" si="245"/>
        <v>810000</v>
      </c>
    </row>
    <row r="300" spans="1:12">
      <c r="A300" s="158">
        <f t="shared" si="246"/>
        <v>4</v>
      </c>
      <c r="B300" s="172" t="s">
        <v>131</v>
      </c>
      <c r="C300" s="81"/>
      <c r="D300" s="87"/>
      <c r="E300" s="202">
        <v>3</v>
      </c>
      <c r="F300" s="161" t="s">
        <v>54</v>
      </c>
      <c r="G300" s="85">
        <v>145000</v>
      </c>
      <c r="H300" s="84">
        <v>35000</v>
      </c>
      <c r="I300" s="84">
        <f t="shared" si="242"/>
        <v>180000</v>
      </c>
      <c r="J300" s="84">
        <f t="shared" si="243"/>
        <v>435000</v>
      </c>
      <c r="K300" s="84">
        <f t="shared" si="244"/>
        <v>105000</v>
      </c>
      <c r="L300" s="84">
        <f t="shared" si="245"/>
        <v>540000</v>
      </c>
    </row>
    <row r="301" spans="1:12" ht="16.5" thickBot="1">
      <c r="A301" s="158">
        <f t="shared" si="246"/>
        <v>5</v>
      </c>
      <c r="B301" s="169" t="s">
        <v>95</v>
      </c>
      <c r="C301" s="81"/>
      <c r="D301" s="87"/>
      <c r="E301" s="203">
        <v>3</v>
      </c>
      <c r="F301" s="173" t="s">
        <v>24</v>
      </c>
      <c r="G301" s="125">
        <v>85000</v>
      </c>
      <c r="H301" s="126">
        <v>15000</v>
      </c>
      <c r="I301" s="126">
        <f t="shared" si="242"/>
        <v>100000</v>
      </c>
      <c r="J301" s="126">
        <f t="shared" si="243"/>
        <v>255000</v>
      </c>
      <c r="K301" s="126">
        <f t="shared" si="244"/>
        <v>45000</v>
      </c>
      <c r="L301" s="126">
        <f t="shared" si="245"/>
        <v>300000</v>
      </c>
    </row>
    <row r="302" spans="1:12" ht="16.5">
      <c r="A302" s="158"/>
      <c r="B302" s="133"/>
      <c r="C302" s="81"/>
      <c r="D302" s="87"/>
      <c r="E302" s="134"/>
      <c r="F302" s="135"/>
      <c r="G302" s="90"/>
      <c r="H302" s="88"/>
      <c r="I302" s="89"/>
      <c r="J302" s="89"/>
      <c r="K302" s="89"/>
      <c r="L302" s="89">
        <f>SUM(L297:L301)</f>
        <v>3990000</v>
      </c>
    </row>
    <row r="303" spans="1:12">
      <c r="A303" s="158"/>
      <c r="B303" s="157"/>
      <c r="C303" s="81"/>
      <c r="D303" s="87"/>
      <c r="E303" s="191"/>
      <c r="F303" s="158"/>
      <c r="G303" s="85"/>
      <c r="H303" s="84"/>
      <c r="I303" s="84"/>
      <c r="J303" s="84"/>
      <c r="K303" s="84"/>
      <c r="L303" s="84"/>
    </row>
    <row r="304" spans="1:12" ht="15.75" customHeight="1">
      <c r="A304" s="159" t="s">
        <v>11</v>
      </c>
      <c r="B304" s="156" t="s">
        <v>33</v>
      </c>
      <c r="C304" s="81"/>
      <c r="D304" s="87"/>
      <c r="E304" s="191"/>
      <c r="F304" s="158"/>
      <c r="G304" s="85"/>
      <c r="H304" s="84"/>
      <c r="I304" s="84"/>
      <c r="J304" s="84"/>
      <c r="K304" s="84"/>
      <c r="L304" s="84"/>
    </row>
    <row r="305" spans="1:12">
      <c r="A305" s="158">
        <v>1</v>
      </c>
      <c r="B305" s="157" t="s">
        <v>138</v>
      </c>
      <c r="C305" s="129"/>
      <c r="D305" s="130"/>
      <c r="E305" s="198">
        <v>55</v>
      </c>
      <c r="F305" s="158" t="s">
        <v>22</v>
      </c>
      <c r="G305" s="85">
        <v>120000</v>
      </c>
      <c r="H305" s="84">
        <v>30000</v>
      </c>
      <c r="I305" s="84">
        <f t="shared" ref="I305" si="247">H305+G305</f>
        <v>150000</v>
      </c>
      <c r="J305" s="84">
        <f t="shared" ref="J305" si="248">E305*G305</f>
        <v>6600000</v>
      </c>
      <c r="K305" s="84">
        <f t="shared" ref="K305" si="249">E305*H305</f>
        <v>1650000</v>
      </c>
      <c r="L305" s="84">
        <f t="shared" ref="L305" si="250">K305+J305</f>
        <v>8250000</v>
      </c>
    </row>
    <row r="306" spans="1:12" ht="16.5" thickBot="1">
      <c r="A306" s="171">
        <f>A305+1</f>
        <v>2</v>
      </c>
      <c r="B306" s="157" t="s">
        <v>122</v>
      </c>
      <c r="C306" s="81"/>
      <c r="D306" s="87"/>
      <c r="E306" s="194">
        <f>E305*0.85</f>
        <v>46.75</v>
      </c>
      <c r="F306" s="170" t="s">
        <v>21</v>
      </c>
      <c r="G306" s="126">
        <v>15000</v>
      </c>
      <c r="H306" s="126">
        <v>6500</v>
      </c>
      <c r="I306" s="126">
        <f t="shared" ref="I306" si="251">H306+G306</f>
        <v>21500</v>
      </c>
      <c r="J306" s="126">
        <f t="shared" ref="J306" si="252">E306*G306</f>
        <v>701250</v>
      </c>
      <c r="K306" s="126">
        <f t="shared" ref="K306" si="253">E306*H306</f>
        <v>303875</v>
      </c>
      <c r="L306" s="126">
        <f t="shared" ref="L306" si="254">K306+J306</f>
        <v>1005125</v>
      </c>
    </row>
    <row r="307" spans="1:12" ht="16.5">
      <c r="B307" s="86"/>
      <c r="E307" s="136"/>
      <c r="F307" s="137"/>
      <c r="G307" s="138"/>
      <c r="H307" s="138"/>
      <c r="I307" s="139"/>
      <c r="J307" s="139"/>
      <c r="K307" s="139"/>
      <c r="L307" s="139">
        <f>SUM(L305:L306)</f>
        <v>9255125</v>
      </c>
    </row>
    <row r="308" spans="1:12">
      <c r="A308" s="158"/>
      <c r="B308" s="157"/>
      <c r="C308" s="81"/>
      <c r="D308" s="87"/>
      <c r="E308" s="191"/>
      <c r="F308" s="158"/>
      <c r="G308" s="85"/>
      <c r="H308" s="84"/>
      <c r="I308" s="84"/>
      <c r="J308" s="84"/>
      <c r="K308" s="84"/>
      <c r="L308" s="84"/>
    </row>
    <row r="309" spans="1:12" ht="16.5">
      <c r="A309" s="159" t="s">
        <v>12</v>
      </c>
      <c r="B309" s="156" t="s">
        <v>35</v>
      </c>
      <c r="C309" s="81"/>
      <c r="D309" s="87"/>
      <c r="E309" s="191"/>
      <c r="F309" s="158"/>
      <c r="G309" s="85"/>
      <c r="H309" s="84"/>
      <c r="I309" s="84"/>
      <c r="J309" s="84"/>
      <c r="K309" s="84"/>
      <c r="L309" s="84"/>
    </row>
    <row r="310" spans="1:12">
      <c r="A310" s="158">
        <v>1</v>
      </c>
      <c r="B310" s="157" t="s">
        <v>145</v>
      </c>
      <c r="C310" s="81"/>
      <c r="D310" s="87"/>
      <c r="E310" s="191">
        <f>60*1.25</f>
        <v>75</v>
      </c>
      <c r="F310" s="158" t="s">
        <v>22</v>
      </c>
      <c r="G310" s="85">
        <v>135000</v>
      </c>
      <c r="H310" s="84">
        <v>35000</v>
      </c>
      <c r="I310" s="84">
        <f>H310+G310</f>
        <v>170000</v>
      </c>
      <c r="J310" s="84">
        <f>E310*G310</f>
        <v>10125000</v>
      </c>
      <c r="K310" s="84">
        <f>E310*H310</f>
        <v>2625000</v>
      </c>
      <c r="L310" s="84">
        <f>K310+J310</f>
        <v>12750000</v>
      </c>
    </row>
    <row r="311" spans="1:12">
      <c r="A311" s="158">
        <f>A310+1</f>
        <v>2</v>
      </c>
      <c r="B311" s="157" t="s">
        <v>118</v>
      </c>
      <c r="C311" s="81"/>
      <c r="D311" s="87"/>
      <c r="E311" s="191">
        <f>60*1.55</f>
        <v>93</v>
      </c>
      <c r="F311" s="158" t="s">
        <v>22</v>
      </c>
      <c r="G311" s="85">
        <f>14500*10</f>
        <v>145000</v>
      </c>
      <c r="H311" s="84">
        <v>15000</v>
      </c>
      <c r="I311" s="84">
        <f>H311+G311</f>
        <v>160000</v>
      </c>
      <c r="J311" s="84">
        <f>E311*G311</f>
        <v>13485000</v>
      </c>
      <c r="K311" s="84">
        <f>E311*H311</f>
        <v>1395000</v>
      </c>
      <c r="L311" s="84">
        <f>K311+J311</f>
        <v>14880000</v>
      </c>
    </row>
    <row r="312" spans="1:12">
      <c r="A312" s="158">
        <f t="shared" ref="A312:A314" si="255">A311+1</f>
        <v>3</v>
      </c>
      <c r="B312" s="157" t="s">
        <v>143</v>
      </c>
      <c r="C312" s="81"/>
      <c r="D312" s="87"/>
      <c r="E312" s="198">
        <f>28*1.25</f>
        <v>35</v>
      </c>
      <c r="F312" s="171" t="s">
        <v>21</v>
      </c>
      <c r="G312" s="128">
        <f>21500*4+45000</f>
        <v>131000</v>
      </c>
      <c r="H312" s="127">
        <v>35000</v>
      </c>
      <c r="I312" s="84">
        <f>H312+G312</f>
        <v>166000</v>
      </c>
      <c r="J312" s="84">
        <f>E312*G312</f>
        <v>4585000</v>
      </c>
      <c r="K312" s="84">
        <f>E312*H312</f>
        <v>1225000</v>
      </c>
      <c r="L312" s="84">
        <f>K312+J312</f>
        <v>5810000</v>
      </c>
    </row>
    <row r="313" spans="1:12">
      <c r="A313" s="158">
        <f t="shared" si="255"/>
        <v>4</v>
      </c>
      <c r="B313" s="157" t="s">
        <v>228</v>
      </c>
      <c r="C313" s="81"/>
      <c r="D313" s="87"/>
      <c r="E313" s="198">
        <v>9</v>
      </c>
      <c r="F313" s="171" t="s">
        <v>21</v>
      </c>
      <c r="G313" s="128">
        <v>85000</v>
      </c>
      <c r="H313" s="127">
        <v>25000</v>
      </c>
      <c r="I313" s="84">
        <f>H313+G313</f>
        <v>110000</v>
      </c>
      <c r="J313" s="84">
        <f>E313*G313</f>
        <v>765000</v>
      </c>
      <c r="K313" s="84">
        <f>E313*H313</f>
        <v>225000</v>
      </c>
      <c r="L313" s="84">
        <f>K313+J313</f>
        <v>990000</v>
      </c>
    </row>
    <row r="314" spans="1:12" ht="16.5" thickBot="1">
      <c r="A314" s="158">
        <f t="shared" si="255"/>
        <v>5</v>
      </c>
      <c r="B314" s="157" t="s">
        <v>168</v>
      </c>
      <c r="C314" s="81"/>
      <c r="D314" s="87"/>
      <c r="E314" s="194">
        <v>32</v>
      </c>
      <c r="F314" s="170" t="s">
        <v>21</v>
      </c>
      <c r="G314" s="125">
        <v>45000</v>
      </c>
      <c r="H314" s="126">
        <v>25000</v>
      </c>
      <c r="I314" s="126">
        <f>H314+G314</f>
        <v>70000</v>
      </c>
      <c r="J314" s="126">
        <f>E314*G314</f>
        <v>1440000</v>
      </c>
      <c r="K314" s="126">
        <f>E314*H314</f>
        <v>800000</v>
      </c>
      <c r="L314" s="126">
        <f>K314+J314</f>
        <v>2240000</v>
      </c>
    </row>
    <row r="315" spans="1:12" ht="16.5">
      <c r="A315" s="158"/>
      <c r="B315" s="157"/>
      <c r="C315" s="81"/>
      <c r="D315" s="87"/>
      <c r="E315" s="192"/>
      <c r="F315" s="162"/>
      <c r="G315" s="90"/>
      <c r="H315" s="88"/>
      <c r="I315" s="89"/>
      <c r="J315" s="89"/>
      <c r="K315" s="89"/>
      <c r="L315" s="89">
        <f>SUM(L310:L314)</f>
        <v>36670000</v>
      </c>
    </row>
    <row r="316" spans="1:12">
      <c r="A316" s="158"/>
      <c r="B316" s="157"/>
      <c r="C316" s="81"/>
      <c r="D316" s="87"/>
      <c r="E316" s="191"/>
      <c r="F316" s="158"/>
      <c r="G316" s="85"/>
      <c r="H316" s="84"/>
      <c r="I316" s="84"/>
      <c r="J316" s="84"/>
      <c r="K316" s="84"/>
      <c r="L316" s="84"/>
    </row>
    <row r="317" spans="1:12" ht="16.5">
      <c r="A317" s="159" t="s">
        <v>36</v>
      </c>
      <c r="B317" s="95" t="s">
        <v>96</v>
      </c>
      <c r="C317" s="81"/>
      <c r="D317" s="87"/>
      <c r="E317" s="191"/>
      <c r="F317" s="158"/>
      <c r="G317" s="85"/>
      <c r="H317" s="84"/>
      <c r="I317" s="84"/>
      <c r="J317" s="84"/>
      <c r="K317" s="84"/>
      <c r="L317" s="84"/>
    </row>
    <row r="318" spans="1:12">
      <c r="A318" s="158">
        <v>1</v>
      </c>
      <c r="B318" s="157" t="s">
        <v>100</v>
      </c>
      <c r="C318" s="81"/>
      <c r="D318" s="87"/>
      <c r="E318" s="191">
        <f>E305</f>
        <v>55</v>
      </c>
      <c r="F318" s="158" t="s">
        <v>22</v>
      </c>
      <c r="G318" s="90">
        <v>25000</v>
      </c>
      <c r="H318" s="88">
        <v>12500</v>
      </c>
      <c r="I318" s="84">
        <f t="shared" ref="I318:I323" si="256">H318+G318</f>
        <v>37500</v>
      </c>
      <c r="J318" s="84">
        <f t="shared" ref="J318:J323" si="257">E318*G318</f>
        <v>1375000</v>
      </c>
      <c r="K318" s="84">
        <f t="shared" ref="K318:K323" si="258">E318*H318</f>
        <v>687500</v>
      </c>
      <c r="L318" s="84">
        <f t="shared" ref="L318:L323" si="259">K318+J318</f>
        <v>2062500</v>
      </c>
    </row>
    <row r="319" spans="1:12">
      <c r="A319" s="158">
        <f>A318+1</f>
        <v>2</v>
      </c>
      <c r="B319" s="157" t="s">
        <v>98</v>
      </c>
      <c r="C319" s="81"/>
      <c r="D319" s="87"/>
      <c r="E319" s="191">
        <f>E274/2.15</f>
        <v>55.112790697674427</v>
      </c>
      <c r="F319" s="158" t="s">
        <v>22</v>
      </c>
      <c r="G319" s="90">
        <v>35000</v>
      </c>
      <c r="H319" s="88">
        <v>16000</v>
      </c>
      <c r="I319" s="84">
        <f t="shared" si="256"/>
        <v>51000</v>
      </c>
      <c r="J319" s="84">
        <f t="shared" si="257"/>
        <v>1928947.6744186049</v>
      </c>
      <c r="K319" s="84">
        <f t="shared" si="258"/>
        <v>881804.65116279083</v>
      </c>
      <c r="L319" s="84">
        <f t="shared" si="259"/>
        <v>2810752.325581396</v>
      </c>
    </row>
    <row r="320" spans="1:12">
      <c r="A320" s="158">
        <f t="shared" ref="A320:A323" si="260">A319+1</f>
        <v>3</v>
      </c>
      <c r="B320" s="157" t="s">
        <v>99</v>
      </c>
      <c r="C320" s="81"/>
      <c r="D320" s="87"/>
      <c r="E320" s="191">
        <f>E275/2.15</f>
        <v>55.112790697674427</v>
      </c>
      <c r="F320" s="158" t="s">
        <v>22</v>
      </c>
      <c r="G320" s="90">
        <v>45000</v>
      </c>
      <c r="H320" s="88">
        <v>18000</v>
      </c>
      <c r="I320" s="84">
        <f t="shared" si="256"/>
        <v>63000</v>
      </c>
      <c r="J320" s="84">
        <f t="shared" si="257"/>
        <v>2480075.581395349</v>
      </c>
      <c r="K320" s="84">
        <f t="shared" si="258"/>
        <v>992030.23255813972</v>
      </c>
      <c r="L320" s="84">
        <f t="shared" si="259"/>
        <v>3472105.8139534886</v>
      </c>
    </row>
    <row r="321" spans="1:12">
      <c r="A321" s="158">
        <f t="shared" si="260"/>
        <v>4</v>
      </c>
      <c r="B321" s="131" t="s">
        <v>97</v>
      </c>
      <c r="C321" s="81"/>
      <c r="D321" s="87"/>
      <c r="E321" s="191">
        <f>E287</f>
        <v>21</v>
      </c>
      <c r="F321" s="158" t="s">
        <v>21</v>
      </c>
      <c r="G321" s="90">
        <v>25000</v>
      </c>
      <c r="H321" s="88">
        <v>15000</v>
      </c>
      <c r="I321" s="84">
        <f t="shared" si="256"/>
        <v>40000</v>
      </c>
      <c r="J321" s="84">
        <f t="shared" si="257"/>
        <v>525000</v>
      </c>
      <c r="K321" s="84">
        <f t="shared" si="258"/>
        <v>315000</v>
      </c>
      <c r="L321" s="84">
        <f t="shared" si="259"/>
        <v>840000</v>
      </c>
    </row>
    <row r="322" spans="1:12">
      <c r="A322" s="158">
        <f t="shared" si="260"/>
        <v>5</v>
      </c>
      <c r="B322" s="131" t="s">
        <v>101</v>
      </c>
      <c r="C322" s="81"/>
      <c r="D322" s="87"/>
      <c r="E322" s="191">
        <f>2.25*7</f>
        <v>15.75</v>
      </c>
      <c r="F322" s="158" t="s">
        <v>22</v>
      </c>
      <c r="G322" s="84">
        <v>85000</v>
      </c>
      <c r="H322" s="84">
        <v>25000</v>
      </c>
      <c r="I322" s="84">
        <f t="shared" si="256"/>
        <v>110000</v>
      </c>
      <c r="J322" s="84">
        <f t="shared" si="257"/>
        <v>1338750</v>
      </c>
      <c r="K322" s="84">
        <f t="shared" si="258"/>
        <v>393750</v>
      </c>
      <c r="L322" s="84">
        <f t="shared" si="259"/>
        <v>1732500</v>
      </c>
    </row>
    <row r="323" spans="1:12" ht="16.5" thickBot="1">
      <c r="A323" s="158">
        <f t="shared" si="260"/>
        <v>6</v>
      </c>
      <c r="B323" s="131" t="s">
        <v>103</v>
      </c>
      <c r="C323" s="81"/>
      <c r="D323" s="87"/>
      <c r="E323" s="194">
        <f>E314</f>
        <v>32</v>
      </c>
      <c r="F323" s="170" t="s">
        <v>21</v>
      </c>
      <c r="G323" s="125">
        <v>35000</v>
      </c>
      <c r="H323" s="126">
        <v>15000</v>
      </c>
      <c r="I323" s="126">
        <f t="shared" si="256"/>
        <v>50000</v>
      </c>
      <c r="J323" s="126">
        <f t="shared" si="257"/>
        <v>1120000</v>
      </c>
      <c r="K323" s="126">
        <f t="shared" si="258"/>
        <v>480000</v>
      </c>
      <c r="L323" s="126">
        <f t="shared" si="259"/>
        <v>1600000</v>
      </c>
    </row>
    <row r="324" spans="1:12" ht="16.5">
      <c r="A324" s="158"/>
      <c r="B324" s="157"/>
      <c r="C324" s="81"/>
      <c r="D324" s="87"/>
      <c r="E324" s="192"/>
      <c r="F324" s="162"/>
      <c r="G324" s="90"/>
      <c r="H324" s="88"/>
      <c r="I324" s="89"/>
      <c r="J324" s="89"/>
      <c r="K324" s="89"/>
      <c r="L324" s="89">
        <f>SUM(L318:L323)</f>
        <v>12517858.139534885</v>
      </c>
    </row>
    <row r="325" spans="1:12" ht="16.5">
      <c r="A325" s="158"/>
      <c r="B325" s="157"/>
      <c r="C325" s="81"/>
      <c r="D325" s="87"/>
      <c r="E325" s="192"/>
      <c r="F325" s="162"/>
      <c r="G325" s="90"/>
      <c r="H325" s="88"/>
      <c r="I325" s="89"/>
      <c r="J325" s="89"/>
      <c r="K325" s="89"/>
      <c r="L325" s="89"/>
    </row>
    <row r="326" spans="1:12" ht="16.5">
      <c r="A326" s="159" t="s">
        <v>37</v>
      </c>
      <c r="B326" s="156" t="s">
        <v>15</v>
      </c>
      <c r="C326" s="81"/>
      <c r="D326" s="87"/>
      <c r="E326" s="191"/>
      <c r="F326" s="158"/>
      <c r="G326" s="85"/>
      <c r="H326" s="84"/>
      <c r="I326" s="84"/>
      <c r="J326" s="84"/>
      <c r="K326" s="84"/>
      <c r="L326" s="84"/>
    </row>
    <row r="327" spans="1:12">
      <c r="A327" s="158">
        <v>1</v>
      </c>
      <c r="B327" s="157" t="s">
        <v>59</v>
      </c>
      <c r="C327" s="81"/>
      <c r="D327" s="87"/>
      <c r="E327" s="191">
        <f>4*3</f>
        <v>12</v>
      </c>
      <c r="F327" s="158" t="s">
        <v>21</v>
      </c>
      <c r="G327" s="85">
        <v>125000</v>
      </c>
      <c r="H327" s="84">
        <v>17000</v>
      </c>
      <c r="I327" s="84">
        <f t="shared" ref="I327:I336" si="261">H327+G327</f>
        <v>142000</v>
      </c>
      <c r="J327" s="84">
        <f t="shared" ref="J327:J336" si="262">E327*G327</f>
        <v>1500000</v>
      </c>
      <c r="K327" s="84">
        <f t="shared" ref="K327:K336" si="263">E327*H327</f>
        <v>204000</v>
      </c>
      <c r="L327" s="84">
        <f t="shared" ref="L327:L336" si="264">K327+J327</f>
        <v>1704000</v>
      </c>
    </row>
    <row r="328" spans="1:12">
      <c r="A328" s="158">
        <f>1+A327</f>
        <v>2</v>
      </c>
      <c r="B328" s="157" t="s">
        <v>72</v>
      </c>
      <c r="C328" s="81"/>
      <c r="D328" s="87"/>
      <c r="E328" s="191">
        <f>4*3</f>
        <v>12</v>
      </c>
      <c r="F328" s="158" t="s">
        <v>21</v>
      </c>
      <c r="G328" s="85">
        <v>95000</v>
      </c>
      <c r="H328" s="84">
        <v>15000</v>
      </c>
      <c r="I328" s="84">
        <f t="shared" si="261"/>
        <v>110000</v>
      </c>
      <c r="J328" s="84">
        <f t="shared" si="262"/>
        <v>1140000</v>
      </c>
      <c r="K328" s="84">
        <f t="shared" si="263"/>
        <v>180000</v>
      </c>
      <c r="L328" s="84">
        <f t="shared" si="264"/>
        <v>1320000</v>
      </c>
    </row>
    <row r="329" spans="1:12">
      <c r="A329" s="158">
        <f t="shared" ref="A329:A336" si="265">1+A328</f>
        <v>3</v>
      </c>
      <c r="B329" s="157" t="s">
        <v>73</v>
      </c>
      <c r="C329" s="81"/>
      <c r="D329" s="87"/>
      <c r="E329" s="191">
        <f>4*3</f>
        <v>12</v>
      </c>
      <c r="F329" s="158" t="s">
        <v>21</v>
      </c>
      <c r="G329" s="85">
        <v>45000</v>
      </c>
      <c r="H329" s="84">
        <v>12000</v>
      </c>
      <c r="I329" s="84">
        <f t="shared" si="261"/>
        <v>57000</v>
      </c>
      <c r="J329" s="84">
        <f t="shared" si="262"/>
        <v>540000</v>
      </c>
      <c r="K329" s="84">
        <f t="shared" si="263"/>
        <v>144000</v>
      </c>
      <c r="L329" s="84">
        <f t="shared" si="264"/>
        <v>684000</v>
      </c>
    </row>
    <row r="330" spans="1:12">
      <c r="A330" s="158">
        <f t="shared" si="265"/>
        <v>4</v>
      </c>
      <c r="B330" s="157" t="s">
        <v>60</v>
      </c>
      <c r="C330" s="81"/>
      <c r="D330" s="87"/>
      <c r="E330" s="191">
        <f>4*2</f>
        <v>8</v>
      </c>
      <c r="F330" s="158" t="s">
        <v>21</v>
      </c>
      <c r="G330" s="85">
        <v>22000</v>
      </c>
      <c r="H330" s="84">
        <v>8500</v>
      </c>
      <c r="I330" s="84">
        <f t="shared" si="261"/>
        <v>30500</v>
      </c>
      <c r="J330" s="84">
        <f t="shared" si="262"/>
        <v>176000</v>
      </c>
      <c r="K330" s="84">
        <f t="shared" si="263"/>
        <v>68000</v>
      </c>
      <c r="L330" s="84">
        <f t="shared" si="264"/>
        <v>244000</v>
      </c>
    </row>
    <row r="331" spans="1:12">
      <c r="A331" s="158">
        <f t="shared" si="265"/>
        <v>5</v>
      </c>
      <c r="B331" s="157" t="s">
        <v>16</v>
      </c>
      <c r="C331" s="81"/>
      <c r="D331" s="87"/>
      <c r="E331" s="191">
        <v>2</v>
      </c>
      <c r="F331" s="158" t="s">
        <v>24</v>
      </c>
      <c r="G331" s="85">
        <v>225000</v>
      </c>
      <c r="H331" s="84">
        <v>25000</v>
      </c>
      <c r="I331" s="84">
        <f t="shared" si="261"/>
        <v>250000</v>
      </c>
      <c r="J331" s="84">
        <f t="shared" si="262"/>
        <v>450000</v>
      </c>
      <c r="K331" s="84">
        <f t="shared" si="263"/>
        <v>50000</v>
      </c>
      <c r="L331" s="84">
        <f t="shared" si="264"/>
        <v>500000</v>
      </c>
    </row>
    <row r="332" spans="1:12">
      <c r="A332" s="158">
        <f t="shared" si="265"/>
        <v>6</v>
      </c>
      <c r="B332" s="157" t="s">
        <v>38</v>
      </c>
      <c r="C332" s="81"/>
      <c r="D332" s="87"/>
      <c r="E332" s="191">
        <v>1</v>
      </c>
      <c r="F332" s="158" t="s">
        <v>24</v>
      </c>
      <c r="G332" s="85">
        <v>435000</v>
      </c>
      <c r="H332" s="84">
        <v>25000</v>
      </c>
      <c r="I332" s="84">
        <f t="shared" si="261"/>
        <v>460000</v>
      </c>
      <c r="J332" s="84">
        <f t="shared" si="262"/>
        <v>435000</v>
      </c>
      <c r="K332" s="84">
        <f t="shared" si="263"/>
        <v>25000</v>
      </c>
      <c r="L332" s="84">
        <f t="shared" si="264"/>
        <v>460000</v>
      </c>
    </row>
    <row r="333" spans="1:12">
      <c r="A333" s="158">
        <f t="shared" si="265"/>
        <v>7</v>
      </c>
      <c r="B333" s="157" t="s">
        <v>146</v>
      </c>
      <c r="C333" s="81"/>
      <c r="D333" s="87"/>
      <c r="E333" s="191">
        <v>1</v>
      </c>
      <c r="F333" s="158" t="s">
        <v>24</v>
      </c>
      <c r="G333" s="85">
        <v>3250000</v>
      </c>
      <c r="H333" s="84">
        <v>175000</v>
      </c>
      <c r="I333" s="84">
        <f t="shared" si="261"/>
        <v>3425000</v>
      </c>
      <c r="J333" s="84">
        <f t="shared" si="262"/>
        <v>3250000</v>
      </c>
      <c r="K333" s="84">
        <f t="shared" si="263"/>
        <v>175000</v>
      </c>
      <c r="L333" s="84">
        <f t="shared" si="264"/>
        <v>3425000</v>
      </c>
    </row>
    <row r="334" spans="1:12">
      <c r="A334" s="158">
        <f t="shared" si="265"/>
        <v>8</v>
      </c>
      <c r="B334" s="157" t="s">
        <v>114</v>
      </c>
      <c r="C334" s="81"/>
      <c r="D334" s="87"/>
      <c r="E334" s="191">
        <v>2</v>
      </c>
      <c r="F334" s="158" t="s">
        <v>24</v>
      </c>
      <c r="G334" s="85">
        <v>145000</v>
      </c>
      <c r="H334" s="84">
        <v>12000</v>
      </c>
      <c r="I334" s="84">
        <f t="shared" si="261"/>
        <v>157000</v>
      </c>
      <c r="J334" s="84">
        <f t="shared" si="262"/>
        <v>290000</v>
      </c>
      <c r="K334" s="84">
        <f t="shared" si="263"/>
        <v>24000</v>
      </c>
      <c r="L334" s="84">
        <f t="shared" si="264"/>
        <v>314000</v>
      </c>
    </row>
    <row r="335" spans="1:12">
      <c r="A335" s="158">
        <f t="shared" si="265"/>
        <v>9</v>
      </c>
      <c r="B335" s="157" t="s">
        <v>65</v>
      </c>
      <c r="C335" s="81"/>
      <c r="D335" s="87"/>
      <c r="E335" s="191">
        <v>2</v>
      </c>
      <c r="F335" s="158" t="s">
        <v>24</v>
      </c>
      <c r="G335" s="85">
        <v>175000</v>
      </c>
      <c r="H335" s="84">
        <v>35000</v>
      </c>
      <c r="I335" s="84">
        <f t="shared" si="261"/>
        <v>210000</v>
      </c>
      <c r="J335" s="84">
        <f t="shared" si="262"/>
        <v>350000</v>
      </c>
      <c r="K335" s="84">
        <f t="shared" si="263"/>
        <v>70000</v>
      </c>
      <c r="L335" s="84">
        <f t="shared" si="264"/>
        <v>420000</v>
      </c>
    </row>
    <row r="336" spans="1:12" ht="16.5" thickBot="1">
      <c r="A336" s="158">
        <f t="shared" si="265"/>
        <v>10</v>
      </c>
      <c r="B336" s="157" t="s">
        <v>17</v>
      </c>
      <c r="C336" s="81"/>
      <c r="D336" s="87"/>
      <c r="E336" s="194">
        <v>1</v>
      </c>
      <c r="F336" s="170" t="s">
        <v>24</v>
      </c>
      <c r="G336" s="125">
        <v>45000</v>
      </c>
      <c r="H336" s="126">
        <v>15000</v>
      </c>
      <c r="I336" s="126">
        <f t="shared" si="261"/>
        <v>60000</v>
      </c>
      <c r="J336" s="126">
        <f t="shared" si="262"/>
        <v>45000</v>
      </c>
      <c r="K336" s="126">
        <f t="shared" si="263"/>
        <v>15000</v>
      </c>
      <c r="L336" s="126">
        <f t="shared" si="264"/>
        <v>60000</v>
      </c>
    </row>
    <row r="337" spans="1:12" ht="16.5">
      <c r="A337" s="158"/>
      <c r="B337" s="157"/>
      <c r="C337" s="81"/>
      <c r="D337" s="87"/>
      <c r="E337" s="192"/>
      <c r="F337" s="162"/>
      <c r="G337" s="90"/>
      <c r="H337" s="88"/>
      <c r="I337" s="89"/>
      <c r="J337" s="89"/>
      <c r="K337" s="89"/>
      <c r="L337" s="89">
        <f>SUM(L327:L336)</f>
        <v>9131000</v>
      </c>
    </row>
    <row r="338" spans="1:12">
      <c r="A338" s="158"/>
      <c r="B338" s="157"/>
      <c r="C338" s="81"/>
      <c r="D338" s="87"/>
      <c r="E338" s="191"/>
      <c r="F338" s="158"/>
      <c r="G338" s="85"/>
      <c r="H338" s="84"/>
      <c r="I338" s="84"/>
      <c r="J338" s="84"/>
      <c r="K338" s="84"/>
      <c r="L338" s="84"/>
    </row>
    <row r="339" spans="1:12" ht="16.5">
      <c r="A339" s="159" t="s">
        <v>14</v>
      </c>
      <c r="B339" s="156" t="s">
        <v>34</v>
      </c>
      <c r="C339" s="81"/>
      <c r="D339" s="87"/>
      <c r="E339" s="191"/>
      <c r="F339" s="158"/>
      <c r="G339" s="85"/>
      <c r="H339" s="84"/>
      <c r="I339" s="84"/>
      <c r="J339" s="84"/>
      <c r="K339" s="84"/>
      <c r="L339" s="84"/>
    </row>
    <row r="340" spans="1:12">
      <c r="A340" s="158">
        <v>1</v>
      </c>
      <c r="B340" s="157" t="s">
        <v>18</v>
      </c>
      <c r="C340" s="81"/>
      <c r="D340" s="87"/>
      <c r="E340" s="191">
        <v>7</v>
      </c>
      <c r="F340" s="158" t="s">
        <v>25</v>
      </c>
      <c r="G340" s="85">
        <v>215000</v>
      </c>
      <c r="H340" s="84">
        <v>55000</v>
      </c>
      <c r="I340" s="84">
        <f t="shared" ref="I340:I351" si="266">H340+G340</f>
        <v>270000</v>
      </c>
      <c r="J340" s="84">
        <f t="shared" ref="J340:J351" si="267">E340*G340</f>
        <v>1505000</v>
      </c>
      <c r="K340" s="84">
        <f t="shared" ref="K340:K351" si="268">E340*H340</f>
        <v>385000</v>
      </c>
      <c r="L340" s="84">
        <f t="shared" ref="L340:L351" si="269">K340+J340</f>
        <v>1890000</v>
      </c>
    </row>
    <row r="341" spans="1:12">
      <c r="A341" s="158">
        <f t="shared" ref="A341:A345" si="270">A340+1</f>
        <v>2</v>
      </c>
      <c r="B341" s="157" t="s">
        <v>19</v>
      </c>
      <c r="C341" s="81"/>
      <c r="D341" s="87"/>
      <c r="E341" s="191">
        <v>3</v>
      </c>
      <c r="F341" s="158" t="s">
        <v>25</v>
      </c>
      <c r="G341" s="85">
        <v>245000</v>
      </c>
      <c r="H341" s="84">
        <v>55000</v>
      </c>
      <c r="I341" s="84">
        <f t="shared" si="266"/>
        <v>300000</v>
      </c>
      <c r="J341" s="84">
        <f t="shared" si="267"/>
        <v>735000</v>
      </c>
      <c r="K341" s="84">
        <f t="shared" si="268"/>
        <v>165000</v>
      </c>
      <c r="L341" s="84">
        <f t="shared" si="269"/>
        <v>900000</v>
      </c>
    </row>
    <row r="342" spans="1:12">
      <c r="A342" s="158">
        <f t="shared" si="270"/>
        <v>3</v>
      </c>
      <c r="B342" s="157" t="s">
        <v>39</v>
      </c>
      <c r="C342" s="81"/>
      <c r="D342" s="87"/>
      <c r="E342" s="191">
        <v>6</v>
      </c>
      <c r="F342" s="158" t="s">
        <v>24</v>
      </c>
      <c r="G342" s="85">
        <v>115000</v>
      </c>
      <c r="H342" s="84">
        <v>25000</v>
      </c>
      <c r="I342" s="84">
        <f t="shared" si="266"/>
        <v>140000</v>
      </c>
      <c r="J342" s="84">
        <f t="shared" si="267"/>
        <v>690000</v>
      </c>
      <c r="K342" s="84">
        <f t="shared" si="268"/>
        <v>150000</v>
      </c>
      <c r="L342" s="84">
        <f t="shared" si="269"/>
        <v>840000</v>
      </c>
    </row>
    <row r="343" spans="1:12">
      <c r="A343" s="158">
        <f t="shared" si="270"/>
        <v>4</v>
      </c>
      <c r="B343" s="157" t="s">
        <v>61</v>
      </c>
      <c r="C343" s="81"/>
      <c r="D343" s="87"/>
      <c r="E343" s="191">
        <v>1</v>
      </c>
      <c r="F343" s="158" t="s">
        <v>24</v>
      </c>
      <c r="G343" s="85">
        <v>175000</v>
      </c>
      <c r="H343" s="84">
        <v>25000</v>
      </c>
      <c r="I343" s="84">
        <f t="shared" si="266"/>
        <v>200000</v>
      </c>
      <c r="J343" s="84">
        <f t="shared" si="267"/>
        <v>175000</v>
      </c>
      <c r="K343" s="84">
        <f t="shared" si="268"/>
        <v>25000</v>
      </c>
      <c r="L343" s="84">
        <f t="shared" si="269"/>
        <v>200000</v>
      </c>
    </row>
    <row r="344" spans="1:12">
      <c r="A344" s="158">
        <f t="shared" si="270"/>
        <v>5</v>
      </c>
      <c r="B344" s="157" t="s">
        <v>29</v>
      </c>
      <c r="C344" s="81"/>
      <c r="D344" s="87"/>
      <c r="E344" s="191">
        <v>3</v>
      </c>
      <c r="F344" s="158" t="s">
        <v>24</v>
      </c>
      <c r="G344" s="85">
        <v>35000</v>
      </c>
      <c r="H344" s="84">
        <v>10500</v>
      </c>
      <c r="I344" s="84">
        <f t="shared" si="266"/>
        <v>45500</v>
      </c>
      <c r="J344" s="84">
        <f t="shared" ref="J344" si="271">E344*G344</f>
        <v>105000</v>
      </c>
      <c r="K344" s="84">
        <f t="shared" ref="K344" si="272">E344*H344</f>
        <v>31500</v>
      </c>
      <c r="L344" s="84">
        <f t="shared" ref="L344" si="273">K344+J344</f>
        <v>136500</v>
      </c>
    </row>
    <row r="345" spans="1:12">
      <c r="A345" s="158">
        <f t="shared" si="270"/>
        <v>6</v>
      </c>
      <c r="B345" s="157" t="s">
        <v>42</v>
      </c>
      <c r="C345" s="81"/>
      <c r="D345" s="87"/>
      <c r="E345" s="191">
        <v>4</v>
      </c>
      <c r="F345" s="158" t="s">
        <v>24</v>
      </c>
      <c r="G345" s="85">
        <v>125000</v>
      </c>
      <c r="H345" s="84">
        <v>10000</v>
      </c>
      <c r="I345" s="84">
        <f t="shared" si="266"/>
        <v>135000</v>
      </c>
      <c r="J345" s="84">
        <f t="shared" si="267"/>
        <v>500000</v>
      </c>
      <c r="K345" s="84">
        <f t="shared" si="268"/>
        <v>40000</v>
      </c>
      <c r="L345" s="84">
        <f t="shared" si="269"/>
        <v>540000</v>
      </c>
    </row>
    <row r="346" spans="1:12">
      <c r="A346" s="158">
        <f>A345+1</f>
        <v>7</v>
      </c>
      <c r="B346" s="157" t="s">
        <v>56</v>
      </c>
      <c r="C346" s="81"/>
      <c r="D346" s="87"/>
      <c r="E346" s="191">
        <v>1</v>
      </c>
      <c r="F346" s="158" t="s">
        <v>24</v>
      </c>
      <c r="G346" s="85">
        <v>350000</v>
      </c>
      <c r="H346" s="84">
        <v>25000</v>
      </c>
      <c r="I346" s="84">
        <f t="shared" si="266"/>
        <v>375000</v>
      </c>
      <c r="J346" s="84">
        <f t="shared" si="267"/>
        <v>350000</v>
      </c>
      <c r="K346" s="84">
        <f t="shared" si="268"/>
        <v>25000</v>
      </c>
      <c r="L346" s="84">
        <f t="shared" si="269"/>
        <v>375000</v>
      </c>
    </row>
    <row r="347" spans="1:12">
      <c r="A347" s="158">
        <f t="shared" ref="A347:A351" si="274">A346+1</f>
        <v>8</v>
      </c>
      <c r="B347" s="157" t="s">
        <v>119</v>
      </c>
      <c r="C347" s="81"/>
      <c r="D347" s="87"/>
      <c r="E347" s="191">
        <v>1</v>
      </c>
      <c r="F347" s="158" t="s">
        <v>32</v>
      </c>
      <c r="G347" s="85">
        <v>550000</v>
      </c>
      <c r="H347" s="84">
        <v>65000</v>
      </c>
      <c r="I347" s="84">
        <f t="shared" ref="I347" si="275">H347+G347</f>
        <v>615000</v>
      </c>
      <c r="J347" s="84">
        <f t="shared" ref="J347" si="276">E347*G347</f>
        <v>550000</v>
      </c>
      <c r="K347" s="84">
        <f t="shared" ref="K347" si="277">E347*H347</f>
        <v>65000</v>
      </c>
      <c r="L347" s="84">
        <f t="shared" ref="L347" si="278">K347+J347</f>
        <v>615000</v>
      </c>
    </row>
    <row r="348" spans="1:12">
      <c r="A348" s="158">
        <f t="shared" si="274"/>
        <v>9</v>
      </c>
      <c r="B348" s="157" t="s">
        <v>51</v>
      </c>
      <c r="C348" s="81"/>
      <c r="D348" s="87"/>
      <c r="E348" s="191">
        <v>1</v>
      </c>
      <c r="F348" s="158" t="s">
        <v>24</v>
      </c>
      <c r="G348" s="85">
        <v>300000</v>
      </c>
      <c r="H348" s="84">
        <v>45000</v>
      </c>
      <c r="I348" s="84">
        <f t="shared" si="266"/>
        <v>345000</v>
      </c>
      <c r="J348" s="84">
        <f t="shared" si="267"/>
        <v>300000</v>
      </c>
      <c r="K348" s="84">
        <f t="shared" si="268"/>
        <v>45000</v>
      </c>
      <c r="L348" s="84">
        <f t="shared" si="269"/>
        <v>345000</v>
      </c>
    </row>
    <row r="349" spans="1:12">
      <c r="A349" s="158">
        <f t="shared" si="274"/>
        <v>10</v>
      </c>
      <c r="B349" s="157" t="s">
        <v>68</v>
      </c>
      <c r="C349" s="81"/>
      <c r="D349" s="87"/>
      <c r="E349" s="191">
        <v>1</v>
      </c>
      <c r="F349" s="158" t="s">
        <v>24</v>
      </c>
      <c r="G349" s="84">
        <f>245000</f>
        <v>245000</v>
      </c>
      <c r="H349" s="84">
        <v>45000</v>
      </c>
      <c r="I349" s="84">
        <f t="shared" si="266"/>
        <v>290000</v>
      </c>
      <c r="J349" s="84">
        <f t="shared" si="267"/>
        <v>245000</v>
      </c>
      <c r="K349" s="84">
        <f t="shared" si="268"/>
        <v>45000</v>
      </c>
      <c r="L349" s="84">
        <f t="shared" si="269"/>
        <v>290000</v>
      </c>
    </row>
    <row r="350" spans="1:12">
      <c r="A350" s="158">
        <f t="shared" si="274"/>
        <v>11</v>
      </c>
      <c r="B350" s="157" t="s">
        <v>28</v>
      </c>
      <c r="C350" s="81"/>
      <c r="D350" s="87"/>
      <c r="E350" s="191">
        <v>5</v>
      </c>
      <c r="F350" s="158" t="s">
        <v>24</v>
      </c>
      <c r="G350" s="90">
        <v>35000</v>
      </c>
      <c r="H350" s="88">
        <v>10500</v>
      </c>
      <c r="I350" s="84">
        <f t="shared" si="266"/>
        <v>45500</v>
      </c>
      <c r="J350" s="84">
        <f t="shared" si="267"/>
        <v>175000</v>
      </c>
      <c r="K350" s="84">
        <f t="shared" si="268"/>
        <v>52500</v>
      </c>
      <c r="L350" s="84">
        <f t="shared" si="269"/>
        <v>227500</v>
      </c>
    </row>
    <row r="351" spans="1:12" ht="16.5" thickBot="1">
      <c r="A351" s="158">
        <f t="shared" si="274"/>
        <v>12</v>
      </c>
      <c r="B351" s="157" t="s">
        <v>41</v>
      </c>
      <c r="C351" s="81"/>
      <c r="D351" s="87"/>
      <c r="E351" s="194">
        <v>1</v>
      </c>
      <c r="F351" s="170" t="s">
        <v>52</v>
      </c>
      <c r="G351" s="125">
        <v>4500000</v>
      </c>
      <c r="H351" s="126">
        <v>650000</v>
      </c>
      <c r="I351" s="126">
        <f t="shared" si="266"/>
        <v>5150000</v>
      </c>
      <c r="J351" s="126">
        <f t="shared" si="267"/>
        <v>4500000</v>
      </c>
      <c r="K351" s="126">
        <f t="shared" si="268"/>
        <v>650000</v>
      </c>
      <c r="L351" s="126">
        <f t="shared" si="269"/>
        <v>5150000</v>
      </c>
    </row>
    <row r="352" spans="1:12" ht="16.5">
      <c r="A352" s="158"/>
      <c r="B352" s="157"/>
      <c r="C352" s="81"/>
      <c r="D352" s="87"/>
      <c r="E352" s="192"/>
      <c r="F352" s="162"/>
      <c r="G352" s="90"/>
      <c r="H352" s="88"/>
      <c r="I352" s="89"/>
      <c r="J352" s="89"/>
      <c r="K352" s="89"/>
      <c r="L352" s="89">
        <f>SUM(L340:L351)</f>
        <v>11509000</v>
      </c>
    </row>
    <row r="353" spans="1:12">
      <c r="A353" s="158"/>
      <c r="B353" s="157"/>
      <c r="C353" s="81"/>
      <c r="D353" s="87"/>
      <c r="E353" s="191"/>
      <c r="F353" s="158"/>
      <c r="G353" s="85"/>
      <c r="H353" s="84"/>
      <c r="I353" s="84"/>
      <c r="J353" s="84"/>
      <c r="K353" s="84"/>
      <c r="L353" s="84"/>
    </row>
    <row r="354" spans="1:12" ht="16.5">
      <c r="A354" s="159" t="s">
        <v>10</v>
      </c>
      <c r="B354" s="156" t="s">
        <v>104</v>
      </c>
      <c r="C354" s="81"/>
      <c r="D354" s="87"/>
      <c r="E354" s="191"/>
      <c r="F354" s="158"/>
      <c r="G354" s="85"/>
      <c r="H354" s="84"/>
      <c r="I354" s="84"/>
      <c r="J354" s="84"/>
      <c r="K354" s="84"/>
      <c r="L354" s="84"/>
    </row>
    <row r="355" spans="1:12">
      <c r="A355" s="158">
        <v>1</v>
      </c>
      <c r="B355" s="157" t="s">
        <v>111</v>
      </c>
      <c r="C355" s="81"/>
      <c r="D355" s="87"/>
      <c r="E355" s="191">
        <v>1</v>
      </c>
      <c r="F355" s="158" t="s">
        <v>32</v>
      </c>
      <c r="G355" s="85">
        <v>7500000</v>
      </c>
      <c r="H355" s="84">
        <v>2250000</v>
      </c>
      <c r="I355" s="84">
        <f t="shared" ref="I355:I364" si="279">H355+G355</f>
        <v>9750000</v>
      </c>
      <c r="J355" s="84">
        <f t="shared" ref="J355:J358" si="280">E355*G355</f>
        <v>7500000</v>
      </c>
      <c r="K355" s="84">
        <f t="shared" ref="K355:K358" si="281">E355*H355</f>
        <v>2250000</v>
      </c>
      <c r="L355" s="84">
        <f t="shared" ref="L355:L358" si="282">K355+J355</f>
        <v>9750000</v>
      </c>
    </row>
    <row r="356" spans="1:12">
      <c r="A356" s="158">
        <f t="shared" ref="A356:A364" si="283">A355+1</f>
        <v>2</v>
      </c>
      <c r="B356" s="157" t="s">
        <v>105</v>
      </c>
      <c r="C356" s="81"/>
      <c r="D356" s="87"/>
      <c r="E356" s="191">
        <v>16</v>
      </c>
      <c r="F356" s="158" t="s">
        <v>21</v>
      </c>
      <c r="G356" s="85">
        <v>65000</v>
      </c>
      <c r="H356" s="84">
        <v>25000</v>
      </c>
      <c r="I356" s="84">
        <f t="shared" si="279"/>
        <v>90000</v>
      </c>
      <c r="J356" s="84">
        <f t="shared" si="280"/>
        <v>1040000</v>
      </c>
      <c r="K356" s="84">
        <f t="shared" si="281"/>
        <v>400000</v>
      </c>
      <c r="L356" s="84">
        <f t="shared" si="282"/>
        <v>1440000</v>
      </c>
    </row>
    <row r="357" spans="1:12">
      <c r="A357" s="158">
        <f t="shared" si="283"/>
        <v>3</v>
      </c>
      <c r="B357" s="157" t="s">
        <v>106</v>
      </c>
      <c r="C357" s="81"/>
      <c r="D357" s="87"/>
      <c r="E357" s="191">
        <v>5</v>
      </c>
      <c r="F357" s="158" t="s">
        <v>32</v>
      </c>
      <c r="G357" s="85">
        <v>125000</v>
      </c>
      <c r="H357" s="84">
        <v>65000</v>
      </c>
      <c r="I357" s="84">
        <f t="shared" si="279"/>
        <v>190000</v>
      </c>
      <c r="J357" s="84">
        <f t="shared" si="280"/>
        <v>625000</v>
      </c>
      <c r="K357" s="84">
        <f t="shared" si="281"/>
        <v>325000</v>
      </c>
      <c r="L357" s="84">
        <f t="shared" si="282"/>
        <v>950000</v>
      </c>
    </row>
    <row r="358" spans="1:12">
      <c r="A358" s="158">
        <f t="shared" si="283"/>
        <v>4</v>
      </c>
      <c r="B358" s="157" t="s">
        <v>107</v>
      </c>
      <c r="C358" s="81"/>
      <c r="D358" s="87"/>
      <c r="E358" s="191">
        <v>2</v>
      </c>
      <c r="F358" s="158" t="s">
        <v>32</v>
      </c>
      <c r="G358" s="85">
        <v>250000</v>
      </c>
      <c r="H358" s="84">
        <v>110000</v>
      </c>
      <c r="I358" s="84">
        <f t="shared" si="279"/>
        <v>360000</v>
      </c>
      <c r="J358" s="84">
        <f t="shared" si="280"/>
        <v>500000</v>
      </c>
      <c r="K358" s="84">
        <f t="shared" si="281"/>
        <v>220000</v>
      </c>
      <c r="L358" s="84">
        <f t="shared" si="282"/>
        <v>720000</v>
      </c>
    </row>
    <row r="359" spans="1:12">
      <c r="A359" s="158">
        <f t="shared" si="283"/>
        <v>5</v>
      </c>
      <c r="B359" s="157" t="s">
        <v>172</v>
      </c>
      <c r="C359" s="81"/>
      <c r="D359" s="87"/>
      <c r="E359" s="198">
        <f>17*3.6</f>
        <v>61.2</v>
      </c>
      <c r="F359" s="171" t="s">
        <v>22</v>
      </c>
      <c r="G359" s="128">
        <v>425000</v>
      </c>
      <c r="H359" s="127">
        <v>350000</v>
      </c>
      <c r="I359" s="127">
        <f t="shared" ref="I359:I363" si="284">H359+G359</f>
        <v>775000</v>
      </c>
      <c r="J359" s="84">
        <f t="shared" ref="J359:J364" si="285">E359*G359</f>
        <v>26010000</v>
      </c>
      <c r="K359" s="84">
        <f t="shared" ref="K359:K364" si="286">E359*H359</f>
        <v>21420000</v>
      </c>
      <c r="L359" s="84">
        <f t="shared" ref="L359:L364" si="287">K359+J359</f>
        <v>47430000</v>
      </c>
    </row>
    <row r="360" spans="1:12">
      <c r="A360" s="158">
        <f t="shared" si="283"/>
        <v>6</v>
      </c>
      <c r="B360" s="157" t="s">
        <v>173</v>
      </c>
      <c r="C360" s="81"/>
      <c r="D360" s="87"/>
      <c r="E360" s="198">
        <v>24</v>
      </c>
      <c r="F360" s="171" t="s">
        <v>22</v>
      </c>
      <c r="G360" s="128">
        <v>185000</v>
      </c>
      <c r="H360" s="127">
        <v>110000</v>
      </c>
      <c r="I360" s="127">
        <f t="shared" si="284"/>
        <v>295000</v>
      </c>
      <c r="J360" s="84">
        <f t="shared" ref="J360:J362" si="288">E360*G360</f>
        <v>4440000</v>
      </c>
      <c r="K360" s="84">
        <f t="shared" ref="K360:K362" si="289">E360*H360</f>
        <v>2640000</v>
      </c>
      <c r="L360" s="84">
        <f t="shared" ref="L360:L362" si="290">K360+J360</f>
        <v>7080000</v>
      </c>
    </row>
    <row r="361" spans="1:12">
      <c r="A361" s="158">
        <f t="shared" si="283"/>
        <v>7</v>
      </c>
      <c r="B361" s="157" t="s">
        <v>230</v>
      </c>
      <c r="C361" s="81"/>
      <c r="D361" s="87"/>
      <c r="E361" s="198">
        <v>12</v>
      </c>
      <c r="F361" s="171" t="s">
        <v>22</v>
      </c>
      <c r="G361" s="128">
        <v>245000</v>
      </c>
      <c r="H361" s="127">
        <v>115000</v>
      </c>
      <c r="I361" s="127">
        <f t="shared" si="284"/>
        <v>360000</v>
      </c>
      <c r="J361" s="127">
        <f t="shared" si="288"/>
        <v>2940000</v>
      </c>
      <c r="K361" s="127">
        <f t="shared" si="289"/>
        <v>1380000</v>
      </c>
      <c r="L361" s="127">
        <f t="shared" si="290"/>
        <v>4320000</v>
      </c>
    </row>
    <row r="362" spans="1:12">
      <c r="A362" s="158">
        <f t="shared" si="283"/>
        <v>8</v>
      </c>
      <c r="B362" s="157" t="s">
        <v>231</v>
      </c>
      <c r="C362" s="81"/>
      <c r="D362" s="87"/>
      <c r="E362" s="198">
        <v>6</v>
      </c>
      <c r="F362" s="171" t="s">
        <v>22</v>
      </c>
      <c r="G362" s="128">
        <v>475000</v>
      </c>
      <c r="H362" s="127">
        <v>125000</v>
      </c>
      <c r="I362" s="127">
        <f t="shared" si="284"/>
        <v>600000</v>
      </c>
      <c r="J362" s="127">
        <f t="shared" si="288"/>
        <v>2850000</v>
      </c>
      <c r="K362" s="127">
        <f t="shared" si="289"/>
        <v>750000</v>
      </c>
      <c r="L362" s="127">
        <f t="shared" si="290"/>
        <v>3600000</v>
      </c>
    </row>
    <row r="363" spans="1:12">
      <c r="A363" s="158">
        <f t="shared" si="283"/>
        <v>9</v>
      </c>
      <c r="B363" s="157" t="s">
        <v>232</v>
      </c>
      <c r="C363" s="81"/>
      <c r="D363" s="87"/>
      <c r="E363" s="198">
        <f>28</f>
        <v>28</v>
      </c>
      <c r="F363" s="171" t="s">
        <v>21</v>
      </c>
      <c r="G363" s="128">
        <v>225000</v>
      </c>
      <c r="H363" s="127">
        <v>125000</v>
      </c>
      <c r="I363" s="127">
        <f t="shared" si="284"/>
        <v>350000</v>
      </c>
      <c r="J363" s="127">
        <f t="shared" ref="J363" si="291">E363*G363</f>
        <v>6300000</v>
      </c>
      <c r="K363" s="127">
        <f t="shared" ref="K363" si="292">E363*H363</f>
        <v>3500000</v>
      </c>
      <c r="L363" s="127">
        <f t="shared" ref="L363" si="293">K363+J363</f>
        <v>9800000</v>
      </c>
    </row>
    <row r="364" spans="1:12" ht="16.5" thickBot="1">
      <c r="A364" s="158">
        <f t="shared" si="283"/>
        <v>10</v>
      </c>
      <c r="B364" s="157" t="s">
        <v>116</v>
      </c>
      <c r="C364" s="81"/>
      <c r="D364" s="87"/>
      <c r="E364" s="194">
        <f>1</f>
        <v>1</v>
      </c>
      <c r="F364" s="170" t="s">
        <v>64</v>
      </c>
      <c r="G364" s="125">
        <v>1200000</v>
      </c>
      <c r="H364" s="126">
        <v>350000</v>
      </c>
      <c r="I364" s="126">
        <f t="shared" si="279"/>
        <v>1550000</v>
      </c>
      <c r="J364" s="126">
        <f t="shared" si="285"/>
        <v>1200000</v>
      </c>
      <c r="K364" s="126">
        <f t="shared" si="286"/>
        <v>350000</v>
      </c>
      <c r="L364" s="126">
        <f t="shared" si="287"/>
        <v>1550000</v>
      </c>
    </row>
    <row r="365" spans="1:12" ht="16.5">
      <c r="A365" s="158"/>
      <c r="B365" s="157"/>
      <c r="C365" s="81"/>
      <c r="D365" s="87"/>
      <c r="E365" s="192"/>
      <c r="F365" s="162"/>
      <c r="G365" s="90"/>
      <c r="H365" s="88"/>
      <c r="I365" s="89"/>
      <c r="J365" s="89"/>
      <c r="K365" s="89"/>
      <c r="L365" s="89">
        <f>SUM(L355:L364)</f>
        <v>86640000</v>
      </c>
    </row>
    <row r="366" spans="1:12">
      <c r="A366" s="158"/>
      <c r="B366" s="157"/>
      <c r="C366" s="81"/>
      <c r="D366" s="87"/>
      <c r="E366" s="191"/>
      <c r="F366" s="158"/>
      <c r="G366" s="85"/>
      <c r="H366" s="84"/>
      <c r="I366" s="84"/>
      <c r="J366" s="84"/>
      <c r="K366" s="84"/>
      <c r="L366" s="84"/>
    </row>
    <row r="367" spans="1:12" s="100" customFormat="1">
      <c r="A367" s="68"/>
      <c r="B367" s="68"/>
      <c r="C367" s="68"/>
      <c r="D367" s="97"/>
      <c r="E367" s="98"/>
      <c r="F367" s="68"/>
      <c r="G367" s="99"/>
      <c r="H367" s="99"/>
      <c r="I367" s="99"/>
      <c r="J367" s="99"/>
      <c r="K367" s="99"/>
      <c r="L367" s="99"/>
    </row>
    <row r="368" spans="1:12" s="102" customFormat="1" ht="16.5">
      <c r="A368" s="68"/>
      <c r="B368" s="68"/>
      <c r="C368" s="68"/>
      <c r="D368" s="97"/>
      <c r="E368" s="98"/>
      <c r="F368" s="68"/>
      <c r="G368" s="99"/>
      <c r="H368" s="99"/>
      <c r="I368" s="99"/>
      <c r="J368" s="101"/>
      <c r="K368" s="101"/>
      <c r="L368" s="101"/>
    </row>
    <row r="369" spans="1:12" s="103" customFormat="1" ht="16.5">
      <c r="A369" s="68"/>
      <c r="B369" s="68"/>
      <c r="C369" s="68"/>
      <c r="D369" s="97"/>
      <c r="E369" s="98"/>
      <c r="F369" s="68"/>
      <c r="G369" s="99"/>
      <c r="H369" s="99"/>
      <c r="I369" s="99"/>
      <c r="J369" s="99"/>
      <c r="K369" s="99"/>
      <c r="L369" s="99"/>
    </row>
    <row r="371" spans="1:12">
      <c r="L371" s="104"/>
    </row>
    <row r="372" spans="1:12" s="69" customFormat="1" ht="16.5">
      <c r="A372" s="68"/>
      <c r="B372" s="68"/>
      <c r="C372" s="68"/>
      <c r="D372" s="97"/>
      <c r="E372" s="98"/>
      <c r="F372" s="68"/>
      <c r="G372" s="99"/>
      <c r="H372" s="99"/>
      <c r="I372" s="99"/>
      <c r="J372" s="99"/>
      <c r="K372" s="99"/>
      <c r="L372" s="99"/>
    </row>
    <row r="393" spans="1:12" s="99" customFormat="1">
      <c r="A393" s="68"/>
      <c r="B393" s="68"/>
      <c r="C393" s="68"/>
      <c r="D393" s="97"/>
      <c r="E393" s="98"/>
      <c r="F393" s="68"/>
    </row>
    <row r="394" spans="1:12" s="99" customFormat="1">
      <c r="A394" s="68"/>
      <c r="B394" s="68"/>
      <c r="C394" s="68"/>
      <c r="D394" s="97"/>
      <c r="E394" s="98"/>
      <c r="F394" s="68"/>
    </row>
    <row r="395" spans="1:12" s="102" customFormat="1" ht="25.5" customHeight="1">
      <c r="A395" s="68"/>
      <c r="B395" s="68"/>
      <c r="C395" s="68"/>
      <c r="D395" s="97"/>
      <c r="E395" s="98"/>
      <c r="F395" s="68"/>
      <c r="G395" s="99"/>
      <c r="H395" s="99"/>
      <c r="I395" s="99"/>
      <c r="J395" s="99"/>
      <c r="K395" s="99"/>
      <c r="L395" s="99"/>
    </row>
  </sheetData>
  <mergeCells count="3">
    <mergeCell ref="A5:A6"/>
    <mergeCell ref="E5:F6"/>
    <mergeCell ref="B5:D6"/>
  </mergeCells>
  <printOptions horizontalCentered="1"/>
  <pageMargins left="1" right="0" top="1.5" bottom="0" header="0" footer="0"/>
  <pageSetup paperSize="9" scale="32" fitToHeight="15" orientation="landscape" r:id="rId1"/>
  <headerFooter alignWithMargins="0">
    <oddFooter>Page &amp;P</oddFooter>
  </headerFooter>
  <rowBreaks count="4" manualBreakCount="4">
    <brk id="68" max="16383" man="1"/>
    <brk id="130" max="16383" man="1"/>
    <brk id="226" max="16383" man="1"/>
    <brk id="302" max="16383" man="1"/>
  </rowBreaks>
  <colBreaks count="1" manualBreakCount="1">
    <brk id="12" max="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zoomScale="80" zoomScaleSheetLayoutView="80" workbookViewId="0">
      <selection activeCell="D51" sqref="D51"/>
    </sheetView>
  </sheetViews>
  <sheetFormatPr defaultRowHeight="15"/>
  <cols>
    <col min="1" max="1" width="8" style="9" customWidth="1"/>
    <col min="2" max="2" width="14.5703125" style="9" customWidth="1"/>
    <col min="3" max="3" width="1.85546875" style="9" customWidth="1"/>
    <col min="4" max="4" width="64.28515625" style="1" customWidth="1"/>
    <col min="5" max="5" width="32" style="2" customWidth="1"/>
    <col min="6" max="7" width="9.140625" style="1"/>
    <col min="8" max="8" width="24.140625" style="1" customWidth="1"/>
    <col min="9" max="241" width="9.140625" style="1"/>
    <col min="242" max="242" width="9.7109375" style="1" customWidth="1"/>
    <col min="243" max="243" width="47.28515625" style="1" customWidth="1"/>
    <col min="244" max="244" width="10.140625" style="1" customWidth="1"/>
    <col min="245" max="245" width="6.7109375" style="1" customWidth="1"/>
    <col min="246" max="246" width="22.42578125" style="1" customWidth="1"/>
    <col min="247" max="247" width="25.28515625" style="1" customWidth="1"/>
    <col min="248" max="248" width="31.85546875" style="1" customWidth="1"/>
    <col min="249" max="249" width="33.5703125" style="1" customWidth="1"/>
    <col min="250" max="250" width="24.85546875" style="1" customWidth="1"/>
    <col min="251" max="251" width="23.140625" style="1" bestFit="1" customWidth="1"/>
    <col min="252" max="252" width="26.5703125" style="1" customWidth="1"/>
    <col min="253" max="253" width="17.140625" style="1" customWidth="1"/>
    <col min="254" max="497" width="9.140625" style="1"/>
    <col min="498" max="498" width="9.7109375" style="1" customWidth="1"/>
    <col min="499" max="499" width="47.28515625" style="1" customWidth="1"/>
    <col min="500" max="500" width="10.140625" style="1" customWidth="1"/>
    <col min="501" max="501" width="6.7109375" style="1" customWidth="1"/>
    <col min="502" max="502" width="22.42578125" style="1" customWidth="1"/>
    <col min="503" max="503" width="25.28515625" style="1" customWidth="1"/>
    <col min="504" max="504" width="31.85546875" style="1" customWidth="1"/>
    <col min="505" max="505" width="33.5703125" style="1" customWidth="1"/>
    <col min="506" max="506" width="24.85546875" style="1" customWidth="1"/>
    <col min="507" max="507" width="23.140625" style="1" bestFit="1" customWidth="1"/>
    <col min="508" max="508" width="26.5703125" style="1" customWidth="1"/>
    <col min="509" max="509" width="17.140625" style="1" customWidth="1"/>
    <col min="510" max="753" width="9.140625" style="1"/>
    <col min="754" max="754" width="9.7109375" style="1" customWidth="1"/>
    <col min="755" max="755" width="47.28515625" style="1" customWidth="1"/>
    <col min="756" max="756" width="10.140625" style="1" customWidth="1"/>
    <col min="757" max="757" width="6.7109375" style="1" customWidth="1"/>
    <col min="758" max="758" width="22.42578125" style="1" customWidth="1"/>
    <col min="759" max="759" width="25.28515625" style="1" customWidth="1"/>
    <col min="760" max="760" width="31.85546875" style="1" customWidth="1"/>
    <col min="761" max="761" width="33.5703125" style="1" customWidth="1"/>
    <col min="762" max="762" width="24.85546875" style="1" customWidth="1"/>
    <col min="763" max="763" width="23.140625" style="1" bestFit="1" customWidth="1"/>
    <col min="764" max="764" width="26.5703125" style="1" customWidth="1"/>
    <col min="765" max="765" width="17.140625" style="1" customWidth="1"/>
    <col min="766" max="1009" width="9.140625" style="1"/>
    <col min="1010" max="1010" width="9.7109375" style="1" customWidth="1"/>
    <col min="1011" max="1011" width="47.28515625" style="1" customWidth="1"/>
    <col min="1012" max="1012" width="10.140625" style="1" customWidth="1"/>
    <col min="1013" max="1013" width="6.7109375" style="1" customWidth="1"/>
    <col min="1014" max="1014" width="22.42578125" style="1" customWidth="1"/>
    <col min="1015" max="1015" width="25.28515625" style="1" customWidth="1"/>
    <col min="1016" max="1016" width="31.85546875" style="1" customWidth="1"/>
    <col min="1017" max="1017" width="33.5703125" style="1" customWidth="1"/>
    <col min="1018" max="1018" width="24.85546875" style="1" customWidth="1"/>
    <col min="1019" max="1019" width="23.140625" style="1" bestFit="1" customWidth="1"/>
    <col min="1020" max="1020" width="26.5703125" style="1" customWidth="1"/>
    <col min="1021" max="1021" width="17.140625" style="1" customWidth="1"/>
    <col min="1022" max="1265" width="9.140625" style="1"/>
    <col min="1266" max="1266" width="9.7109375" style="1" customWidth="1"/>
    <col min="1267" max="1267" width="47.28515625" style="1" customWidth="1"/>
    <col min="1268" max="1268" width="10.140625" style="1" customWidth="1"/>
    <col min="1269" max="1269" width="6.7109375" style="1" customWidth="1"/>
    <col min="1270" max="1270" width="22.42578125" style="1" customWidth="1"/>
    <col min="1271" max="1271" width="25.28515625" style="1" customWidth="1"/>
    <col min="1272" max="1272" width="31.85546875" style="1" customWidth="1"/>
    <col min="1273" max="1273" width="33.5703125" style="1" customWidth="1"/>
    <col min="1274" max="1274" width="24.85546875" style="1" customWidth="1"/>
    <col min="1275" max="1275" width="23.140625" style="1" bestFit="1" customWidth="1"/>
    <col min="1276" max="1276" width="26.5703125" style="1" customWidth="1"/>
    <col min="1277" max="1277" width="17.140625" style="1" customWidth="1"/>
    <col min="1278" max="1521" width="9.140625" style="1"/>
    <col min="1522" max="1522" width="9.7109375" style="1" customWidth="1"/>
    <col min="1523" max="1523" width="47.28515625" style="1" customWidth="1"/>
    <col min="1524" max="1524" width="10.140625" style="1" customWidth="1"/>
    <col min="1525" max="1525" width="6.7109375" style="1" customWidth="1"/>
    <col min="1526" max="1526" width="22.42578125" style="1" customWidth="1"/>
    <col min="1527" max="1527" width="25.28515625" style="1" customWidth="1"/>
    <col min="1528" max="1528" width="31.85546875" style="1" customWidth="1"/>
    <col min="1529" max="1529" width="33.5703125" style="1" customWidth="1"/>
    <col min="1530" max="1530" width="24.85546875" style="1" customWidth="1"/>
    <col min="1531" max="1531" width="23.140625" style="1" bestFit="1" customWidth="1"/>
    <col min="1532" max="1532" width="26.5703125" style="1" customWidth="1"/>
    <col min="1533" max="1533" width="17.140625" style="1" customWidth="1"/>
    <col min="1534" max="1777" width="9.140625" style="1"/>
    <col min="1778" max="1778" width="9.7109375" style="1" customWidth="1"/>
    <col min="1779" max="1779" width="47.28515625" style="1" customWidth="1"/>
    <col min="1780" max="1780" width="10.140625" style="1" customWidth="1"/>
    <col min="1781" max="1781" width="6.7109375" style="1" customWidth="1"/>
    <col min="1782" max="1782" width="22.42578125" style="1" customWidth="1"/>
    <col min="1783" max="1783" width="25.28515625" style="1" customWidth="1"/>
    <col min="1784" max="1784" width="31.85546875" style="1" customWidth="1"/>
    <col min="1785" max="1785" width="33.5703125" style="1" customWidth="1"/>
    <col min="1786" max="1786" width="24.85546875" style="1" customWidth="1"/>
    <col min="1787" max="1787" width="23.140625" style="1" bestFit="1" customWidth="1"/>
    <col min="1788" max="1788" width="26.5703125" style="1" customWidth="1"/>
    <col min="1789" max="1789" width="17.140625" style="1" customWidth="1"/>
    <col min="1790" max="2033" width="9.140625" style="1"/>
    <col min="2034" max="2034" width="9.7109375" style="1" customWidth="1"/>
    <col min="2035" max="2035" width="47.28515625" style="1" customWidth="1"/>
    <col min="2036" max="2036" width="10.140625" style="1" customWidth="1"/>
    <col min="2037" max="2037" width="6.7109375" style="1" customWidth="1"/>
    <col min="2038" max="2038" width="22.42578125" style="1" customWidth="1"/>
    <col min="2039" max="2039" width="25.28515625" style="1" customWidth="1"/>
    <col min="2040" max="2040" width="31.85546875" style="1" customWidth="1"/>
    <col min="2041" max="2041" width="33.5703125" style="1" customWidth="1"/>
    <col min="2042" max="2042" width="24.85546875" style="1" customWidth="1"/>
    <col min="2043" max="2043" width="23.140625" style="1" bestFit="1" customWidth="1"/>
    <col min="2044" max="2044" width="26.5703125" style="1" customWidth="1"/>
    <col min="2045" max="2045" width="17.140625" style="1" customWidth="1"/>
    <col min="2046" max="2289" width="9.140625" style="1"/>
    <col min="2290" max="2290" width="9.7109375" style="1" customWidth="1"/>
    <col min="2291" max="2291" width="47.28515625" style="1" customWidth="1"/>
    <col min="2292" max="2292" width="10.140625" style="1" customWidth="1"/>
    <col min="2293" max="2293" width="6.7109375" style="1" customWidth="1"/>
    <col min="2294" max="2294" width="22.42578125" style="1" customWidth="1"/>
    <col min="2295" max="2295" width="25.28515625" style="1" customWidth="1"/>
    <col min="2296" max="2296" width="31.85546875" style="1" customWidth="1"/>
    <col min="2297" max="2297" width="33.5703125" style="1" customWidth="1"/>
    <col min="2298" max="2298" width="24.85546875" style="1" customWidth="1"/>
    <col min="2299" max="2299" width="23.140625" style="1" bestFit="1" customWidth="1"/>
    <col min="2300" max="2300" width="26.5703125" style="1" customWidth="1"/>
    <col min="2301" max="2301" width="17.140625" style="1" customWidth="1"/>
    <col min="2302" max="2545" width="9.140625" style="1"/>
    <col min="2546" max="2546" width="9.7109375" style="1" customWidth="1"/>
    <col min="2547" max="2547" width="47.28515625" style="1" customWidth="1"/>
    <col min="2548" max="2548" width="10.140625" style="1" customWidth="1"/>
    <col min="2549" max="2549" width="6.7109375" style="1" customWidth="1"/>
    <col min="2550" max="2550" width="22.42578125" style="1" customWidth="1"/>
    <col min="2551" max="2551" width="25.28515625" style="1" customWidth="1"/>
    <col min="2552" max="2552" width="31.85546875" style="1" customWidth="1"/>
    <col min="2553" max="2553" width="33.5703125" style="1" customWidth="1"/>
    <col min="2554" max="2554" width="24.85546875" style="1" customWidth="1"/>
    <col min="2555" max="2555" width="23.140625" style="1" bestFit="1" customWidth="1"/>
    <col min="2556" max="2556" width="26.5703125" style="1" customWidth="1"/>
    <col min="2557" max="2557" width="17.140625" style="1" customWidth="1"/>
    <col min="2558" max="2801" width="9.140625" style="1"/>
    <col min="2802" max="2802" width="9.7109375" style="1" customWidth="1"/>
    <col min="2803" max="2803" width="47.28515625" style="1" customWidth="1"/>
    <col min="2804" max="2804" width="10.140625" style="1" customWidth="1"/>
    <col min="2805" max="2805" width="6.7109375" style="1" customWidth="1"/>
    <col min="2806" max="2806" width="22.42578125" style="1" customWidth="1"/>
    <col min="2807" max="2807" width="25.28515625" style="1" customWidth="1"/>
    <col min="2808" max="2808" width="31.85546875" style="1" customWidth="1"/>
    <col min="2809" max="2809" width="33.5703125" style="1" customWidth="1"/>
    <col min="2810" max="2810" width="24.85546875" style="1" customWidth="1"/>
    <col min="2811" max="2811" width="23.140625" style="1" bestFit="1" customWidth="1"/>
    <col min="2812" max="2812" width="26.5703125" style="1" customWidth="1"/>
    <col min="2813" max="2813" width="17.140625" style="1" customWidth="1"/>
    <col min="2814" max="3057" width="9.140625" style="1"/>
    <col min="3058" max="3058" width="9.7109375" style="1" customWidth="1"/>
    <col min="3059" max="3059" width="47.28515625" style="1" customWidth="1"/>
    <col min="3060" max="3060" width="10.140625" style="1" customWidth="1"/>
    <col min="3061" max="3061" width="6.7109375" style="1" customWidth="1"/>
    <col min="3062" max="3062" width="22.42578125" style="1" customWidth="1"/>
    <col min="3063" max="3063" width="25.28515625" style="1" customWidth="1"/>
    <col min="3064" max="3064" width="31.85546875" style="1" customWidth="1"/>
    <col min="3065" max="3065" width="33.5703125" style="1" customWidth="1"/>
    <col min="3066" max="3066" width="24.85546875" style="1" customWidth="1"/>
    <col min="3067" max="3067" width="23.140625" style="1" bestFit="1" customWidth="1"/>
    <col min="3068" max="3068" width="26.5703125" style="1" customWidth="1"/>
    <col min="3069" max="3069" width="17.140625" style="1" customWidth="1"/>
    <col min="3070" max="3313" width="9.140625" style="1"/>
    <col min="3314" max="3314" width="9.7109375" style="1" customWidth="1"/>
    <col min="3315" max="3315" width="47.28515625" style="1" customWidth="1"/>
    <col min="3316" max="3316" width="10.140625" style="1" customWidth="1"/>
    <col min="3317" max="3317" width="6.7109375" style="1" customWidth="1"/>
    <col min="3318" max="3318" width="22.42578125" style="1" customWidth="1"/>
    <col min="3319" max="3319" width="25.28515625" style="1" customWidth="1"/>
    <col min="3320" max="3320" width="31.85546875" style="1" customWidth="1"/>
    <col min="3321" max="3321" width="33.5703125" style="1" customWidth="1"/>
    <col min="3322" max="3322" width="24.85546875" style="1" customWidth="1"/>
    <col min="3323" max="3323" width="23.140625" style="1" bestFit="1" customWidth="1"/>
    <col min="3324" max="3324" width="26.5703125" style="1" customWidth="1"/>
    <col min="3325" max="3325" width="17.140625" style="1" customWidth="1"/>
    <col min="3326" max="3569" width="9.140625" style="1"/>
    <col min="3570" max="3570" width="9.7109375" style="1" customWidth="1"/>
    <col min="3571" max="3571" width="47.28515625" style="1" customWidth="1"/>
    <col min="3572" max="3572" width="10.140625" style="1" customWidth="1"/>
    <col min="3573" max="3573" width="6.7109375" style="1" customWidth="1"/>
    <col min="3574" max="3574" width="22.42578125" style="1" customWidth="1"/>
    <col min="3575" max="3575" width="25.28515625" style="1" customWidth="1"/>
    <col min="3576" max="3576" width="31.85546875" style="1" customWidth="1"/>
    <col min="3577" max="3577" width="33.5703125" style="1" customWidth="1"/>
    <col min="3578" max="3578" width="24.85546875" style="1" customWidth="1"/>
    <col min="3579" max="3579" width="23.140625" style="1" bestFit="1" customWidth="1"/>
    <col min="3580" max="3580" width="26.5703125" style="1" customWidth="1"/>
    <col min="3581" max="3581" width="17.140625" style="1" customWidth="1"/>
    <col min="3582" max="3825" width="9.140625" style="1"/>
    <col min="3826" max="3826" width="9.7109375" style="1" customWidth="1"/>
    <col min="3827" max="3827" width="47.28515625" style="1" customWidth="1"/>
    <col min="3828" max="3828" width="10.140625" style="1" customWidth="1"/>
    <col min="3829" max="3829" width="6.7109375" style="1" customWidth="1"/>
    <col min="3830" max="3830" width="22.42578125" style="1" customWidth="1"/>
    <col min="3831" max="3831" width="25.28515625" style="1" customWidth="1"/>
    <col min="3832" max="3832" width="31.85546875" style="1" customWidth="1"/>
    <col min="3833" max="3833" width="33.5703125" style="1" customWidth="1"/>
    <col min="3834" max="3834" width="24.85546875" style="1" customWidth="1"/>
    <col min="3835" max="3835" width="23.140625" style="1" bestFit="1" customWidth="1"/>
    <col min="3836" max="3836" width="26.5703125" style="1" customWidth="1"/>
    <col min="3837" max="3837" width="17.140625" style="1" customWidth="1"/>
    <col min="3838" max="4081" width="9.140625" style="1"/>
    <col min="4082" max="4082" width="9.7109375" style="1" customWidth="1"/>
    <col min="4083" max="4083" width="47.28515625" style="1" customWidth="1"/>
    <col min="4084" max="4084" width="10.140625" style="1" customWidth="1"/>
    <col min="4085" max="4085" width="6.7109375" style="1" customWidth="1"/>
    <col min="4086" max="4086" width="22.42578125" style="1" customWidth="1"/>
    <col min="4087" max="4087" width="25.28515625" style="1" customWidth="1"/>
    <col min="4088" max="4088" width="31.85546875" style="1" customWidth="1"/>
    <col min="4089" max="4089" width="33.5703125" style="1" customWidth="1"/>
    <col min="4090" max="4090" width="24.85546875" style="1" customWidth="1"/>
    <col min="4091" max="4091" width="23.140625" style="1" bestFit="1" customWidth="1"/>
    <col min="4092" max="4092" width="26.5703125" style="1" customWidth="1"/>
    <col min="4093" max="4093" width="17.140625" style="1" customWidth="1"/>
    <col min="4094" max="4337" width="9.140625" style="1"/>
    <col min="4338" max="4338" width="9.7109375" style="1" customWidth="1"/>
    <col min="4339" max="4339" width="47.28515625" style="1" customWidth="1"/>
    <col min="4340" max="4340" width="10.140625" style="1" customWidth="1"/>
    <col min="4341" max="4341" width="6.7109375" style="1" customWidth="1"/>
    <col min="4342" max="4342" width="22.42578125" style="1" customWidth="1"/>
    <col min="4343" max="4343" width="25.28515625" style="1" customWidth="1"/>
    <col min="4344" max="4344" width="31.85546875" style="1" customWidth="1"/>
    <col min="4345" max="4345" width="33.5703125" style="1" customWidth="1"/>
    <col min="4346" max="4346" width="24.85546875" style="1" customWidth="1"/>
    <col min="4347" max="4347" width="23.140625" style="1" bestFit="1" customWidth="1"/>
    <col min="4348" max="4348" width="26.5703125" style="1" customWidth="1"/>
    <col min="4349" max="4349" width="17.140625" style="1" customWidth="1"/>
    <col min="4350" max="4593" width="9.140625" style="1"/>
    <col min="4594" max="4594" width="9.7109375" style="1" customWidth="1"/>
    <col min="4595" max="4595" width="47.28515625" style="1" customWidth="1"/>
    <col min="4596" max="4596" width="10.140625" style="1" customWidth="1"/>
    <col min="4597" max="4597" width="6.7109375" style="1" customWidth="1"/>
    <col min="4598" max="4598" width="22.42578125" style="1" customWidth="1"/>
    <col min="4599" max="4599" width="25.28515625" style="1" customWidth="1"/>
    <col min="4600" max="4600" width="31.85546875" style="1" customWidth="1"/>
    <col min="4601" max="4601" width="33.5703125" style="1" customWidth="1"/>
    <col min="4602" max="4602" width="24.85546875" style="1" customWidth="1"/>
    <col min="4603" max="4603" width="23.140625" style="1" bestFit="1" customWidth="1"/>
    <col min="4604" max="4604" width="26.5703125" style="1" customWidth="1"/>
    <col min="4605" max="4605" width="17.140625" style="1" customWidth="1"/>
    <col min="4606" max="4849" width="9.140625" style="1"/>
    <col min="4850" max="4850" width="9.7109375" style="1" customWidth="1"/>
    <col min="4851" max="4851" width="47.28515625" style="1" customWidth="1"/>
    <col min="4852" max="4852" width="10.140625" style="1" customWidth="1"/>
    <col min="4853" max="4853" width="6.7109375" style="1" customWidth="1"/>
    <col min="4854" max="4854" width="22.42578125" style="1" customWidth="1"/>
    <col min="4855" max="4855" width="25.28515625" style="1" customWidth="1"/>
    <col min="4856" max="4856" width="31.85546875" style="1" customWidth="1"/>
    <col min="4857" max="4857" width="33.5703125" style="1" customWidth="1"/>
    <col min="4858" max="4858" width="24.85546875" style="1" customWidth="1"/>
    <col min="4859" max="4859" width="23.140625" style="1" bestFit="1" customWidth="1"/>
    <col min="4860" max="4860" width="26.5703125" style="1" customWidth="1"/>
    <col min="4861" max="4861" width="17.140625" style="1" customWidth="1"/>
    <col min="4862" max="5105" width="9.140625" style="1"/>
    <col min="5106" max="5106" width="9.7109375" style="1" customWidth="1"/>
    <col min="5107" max="5107" width="47.28515625" style="1" customWidth="1"/>
    <col min="5108" max="5108" width="10.140625" style="1" customWidth="1"/>
    <col min="5109" max="5109" width="6.7109375" style="1" customWidth="1"/>
    <col min="5110" max="5110" width="22.42578125" style="1" customWidth="1"/>
    <col min="5111" max="5111" width="25.28515625" style="1" customWidth="1"/>
    <col min="5112" max="5112" width="31.85546875" style="1" customWidth="1"/>
    <col min="5113" max="5113" width="33.5703125" style="1" customWidth="1"/>
    <col min="5114" max="5114" width="24.85546875" style="1" customWidth="1"/>
    <col min="5115" max="5115" width="23.140625" style="1" bestFit="1" customWidth="1"/>
    <col min="5116" max="5116" width="26.5703125" style="1" customWidth="1"/>
    <col min="5117" max="5117" width="17.140625" style="1" customWidth="1"/>
    <col min="5118" max="5361" width="9.140625" style="1"/>
    <col min="5362" max="5362" width="9.7109375" style="1" customWidth="1"/>
    <col min="5363" max="5363" width="47.28515625" style="1" customWidth="1"/>
    <col min="5364" max="5364" width="10.140625" style="1" customWidth="1"/>
    <col min="5365" max="5365" width="6.7109375" style="1" customWidth="1"/>
    <col min="5366" max="5366" width="22.42578125" style="1" customWidth="1"/>
    <col min="5367" max="5367" width="25.28515625" style="1" customWidth="1"/>
    <col min="5368" max="5368" width="31.85546875" style="1" customWidth="1"/>
    <col min="5369" max="5369" width="33.5703125" style="1" customWidth="1"/>
    <col min="5370" max="5370" width="24.85546875" style="1" customWidth="1"/>
    <col min="5371" max="5371" width="23.140625" style="1" bestFit="1" customWidth="1"/>
    <col min="5372" max="5372" width="26.5703125" style="1" customWidth="1"/>
    <col min="5373" max="5373" width="17.140625" style="1" customWidth="1"/>
    <col min="5374" max="5617" width="9.140625" style="1"/>
    <col min="5618" max="5618" width="9.7109375" style="1" customWidth="1"/>
    <col min="5619" max="5619" width="47.28515625" style="1" customWidth="1"/>
    <col min="5620" max="5620" width="10.140625" style="1" customWidth="1"/>
    <col min="5621" max="5621" width="6.7109375" style="1" customWidth="1"/>
    <col min="5622" max="5622" width="22.42578125" style="1" customWidth="1"/>
    <col min="5623" max="5623" width="25.28515625" style="1" customWidth="1"/>
    <col min="5624" max="5624" width="31.85546875" style="1" customWidth="1"/>
    <col min="5625" max="5625" width="33.5703125" style="1" customWidth="1"/>
    <col min="5626" max="5626" width="24.85546875" style="1" customWidth="1"/>
    <col min="5627" max="5627" width="23.140625" style="1" bestFit="1" customWidth="1"/>
    <col min="5628" max="5628" width="26.5703125" style="1" customWidth="1"/>
    <col min="5629" max="5629" width="17.140625" style="1" customWidth="1"/>
    <col min="5630" max="5873" width="9.140625" style="1"/>
    <col min="5874" max="5874" width="9.7109375" style="1" customWidth="1"/>
    <col min="5875" max="5875" width="47.28515625" style="1" customWidth="1"/>
    <col min="5876" max="5876" width="10.140625" style="1" customWidth="1"/>
    <col min="5877" max="5877" width="6.7109375" style="1" customWidth="1"/>
    <col min="5878" max="5878" width="22.42578125" style="1" customWidth="1"/>
    <col min="5879" max="5879" width="25.28515625" style="1" customWidth="1"/>
    <col min="5880" max="5880" width="31.85546875" style="1" customWidth="1"/>
    <col min="5881" max="5881" width="33.5703125" style="1" customWidth="1"/>
    <col min="5882" max="5882" width="24.85546875" style="1" customWidth="1"/>
    <col min="5883" max="5883" width="23.140625" style="1" bestFit="1" customWidth="1"/>
    <col min="5884" max="5884" width="26.5703125" style="1" customWidth="1"/>
    <col min="5885" max="5885" width="17.140625" style="1" customWidth="1"/>
    <col min="5886" max="6129" width="9.140625" style="1"/>
    <col min="6130" max="6130" width="9.7109375" style="1" customWidth="1"/>
    <col min="6131" max="6131" width="47.28515625" style="1" customWidth="1"/>
    <col min="6132" max="6132" width="10.140625" style="1" customWidth="1"/>
    <col min="6133" max="6133" width="6.7109375" style="1" customWidth="1"/>
    <col min="6134" max="6134" width="22.42578125" style="1" customWidth="1"/>
    <col min="6135" max="6135" width="25.28515625" style="1" customWidth="1"/>
    <col min="6136" max="6136" width="31.85546875" style="1" customWidth="1"/>
    <col min="6137" max="6137" width="33.5703125" style="1" customWidth="1"/>
    <col min="6138" max="6138" width="24.85546875" style="1" customWidth="1"/>
    <col min="6139" max="6139" width="23.140625" style="1" bestFit="1" customWidth="1"/>
    <col min="6140" max="6140" width="26.5703125" style="1" customWidth="1"/>
    <col min="6141" max="6141" width="17.140625" style="1" customWidth="1"/>
    <col min="6142" max="6385" width="9.140625" style="1"/>
    <col min="6386" max="6386" width="9.7109375" style="1" customWidth="1"/>
    <col min="6387" max="6387" width="47.28515625" style="1" customWidth="1"/>
    <col min="6388" max="6388" width="10.140625" style="1" customWidth="1"/>
    <col min="6389" max="6389" width="6.7109375" style="1" customWidth="1"/>
    <col min="6390" max="6390" width="22.42578125" style="1" customWidth="1"/>
    <col min="6391" max="6391" width="25.28515625" style="1" customWidth="1"/>
    <col min="6392" max="6392" width="31.85546875" style="1" customWidth="1"/>
    <col min="6393" max="6393" width="33.5703125" style="1" customWidth="1"/>
    <col min="6394" max="6394" width="24.85546875" style="1" customWidth="1"/>
    <col min="6395" max="6395" width="23.140625" style="1" bestFit="1" customWidth="1"/>
    <col min="6396" max="6396" width="26.5703125" style="1" customWidth="1"/>
    <col min="6397" max="6397" width="17.140625" style="1" customWidth="1"/>
    <col min="6398" max="6641" width="9.140625" style="1"/>
    <col min="6642" max="6642" width="9.7109375" style="1" customWidth="1"/>
    <col min="6643" max="6643" width="47.28515625" style="1" customWidth="1"/>
    <col min="6644" max="6644" width="10.140625" style="1" customWidth="1"/>
    <col min="6645" max="6645" width="6.7109375" style="1" customWidth="1"/>
    <col min="6646" max="6646" width="22.42578125" style="1" customWidth="1"/>
    <col min="6647" max="6647" width="25.28515625" style="1" customWidth="1"/>
    <col min="6648" max="6648" width="31.85546875" style="1" customWidth="1"/>
    <col min="6649" max="6649" width="33.5703125" style="1" customWidth="1"/>
    <col min="6650" max="6650" width="24.85546875" style="1" customWidth="1"/>
    <col min="6651" max="6651" width="23.140625" style="1" bestFit="1" customWidth="1"/>
    <col min="6652" max="6652" width="26.5703125" style="1" customWidth="1"/>
    <col min="6653" max="6653" width="17.140625" style="1" customWidth="1"/>
    <col min="6654" max="6897" width="9.140625" style="1"/>
    <col min="6898" max="6898" width="9.7109375" style="1" customWidth="1"/>
    <col min="6899" max="6899" width="47.28515625" style="1" customWidth="1"/>
    <col min="6900" max="6900" width="10.140625" style="1" customWidth="1"/>
    <col min="6901" max="6901" width="6.7109375" style="1" customWidth="1"/>
    <col min="6902" max="6902" width="22.42578125" style="1" customWidth="1"/>
    <col min="6903" max="6903" width="25.28515625" style="1" customWidth="1"/>
    <col min="6904" max="6904" width="31.85546875" style="1" customWidth="1"/>
    <col min="6905" max="6905" width="33.5703125" style="1" customWidth="1"/>
    <col min="6906" max="6906" width="24.85546875" style="1" customWidth="1"/>
    <col min="6907" max="6907" width="23.140625" style="1" bestFit="1" customWidth="1"/>
    <col min="6908" max="6908" width="26.5703125" style="1" customWidth="1"/>
    <col min="6909" max="6909" width="17.140625" style="1" customWidth="1"/>
    <col min="6910" max="7153" width="9.140625" style="1"/>
    <col min="7154" max="7154" width="9.7109375" style="1" customWidth="1"/>
    <col min="7155" max="7155" width="47.28515625" style="1" customWidth="1"/>
    <col min="7156" max="7156" width="10.140625" style="1" customWidth="1"/>
    <col min="7157" max="7157" width="6.7109375" style="1" customWidth="1"/>
    <col min="7158" max="7158" width="22.42578125" style="1" customWidth="1"/>
    <col min="7159" max="7159" width="25.28515625" style="1" customWidth="1"/>
    <col min="7160" max="7160" width="31.85546875" style="1" customWidth="1"/>
    <col min="7161" max="7161" width="33.5703125" style="1" customWidth="1"/>
    <col min="7162" max="7162" width="24.85546875" style="1" customWidth="1"/>
    <col min="7163" max="7163" width="23.140625" style="1" bestFit="1" customWidth="1"/>
    <col min="7164" max="7164" width="26.5703125" style="1" customWidth="1"/>
    <col min="7165" max="7165" width="17.140625" style="1" customWidth="1"/>
    <col min="7166" max="7409" width="9.140625" style="1"/>
    <col min="7410" max="7410" width="9.7109375" style="1" customWidth="1"/>
    <col min="7411" max="7411" width="47.28515625" style="1" customWidth="1"/>
    <col min="7412" max="7412" width="10.140625" style="1" customWidth="1"/>
    <col min="7413" max="7413" width="6.7109375" style="1" customWidth="1"/>
    <col min="7414" max="7414" width="22.42578125" style="1" customWidth="1"/>
    <col min="7415" max="7415" width="25.28515625" style="1" customWidth="1"/>
    <col min="7416" max="7416" width="31.85546875" style="1" customWidth="1"/>
    <col min="7417" max="7417" width="33.5703125" style="1" customWidth="1"/>
    <col min="7418" max="7418" width="24.85546875" style="1" customWidth="1"/>
    <col min="7419" max="7419" width="23.140625" style="1" bestFit="1" customWidth="1"/>
    <col min="7420" max="7420" width="26.5703125" style="1" customWidth="1"/>
    <col min="7421" max="7421" width="17.140625" style="1" customWidth="1"/>
    <col min="7422" max="7665" width="9.140625" style="1"/>
    <col min="7666" max="7666" width="9.7109375" style="1" customWidth="1"/>
    <col min="7667" max="7667" width="47.28515625" style="1" customWidth="1"/>
    <col min="7668" max="7668" width="10.140625" style="1" customWidth="1"/>
    <col min="7669" max="7669" width="6.7109375" style="1" customWidth="1"/>
    <col min="7670" max="7670" width="22.42578125" style="1" customWidth="1"/>
    <col min="7671" max="7671" width="25.28515625" style="1" customWidth="1"/>
    <col min="7672" max="7672" width="31.85546875" style="1" customWidth="1"/>
    <col min="7673" max="7673" width="33.5703125" style="1" customWidth="1"/>
    <col min="7674" max="7674" width="24.85546875" style="1" customWidth="1"/>
    <col min="7675" max="7675" width="23.140625" style="1" bestFit="1" customWidth="1"/>
    <col min="7676" max="7676" width="26.5703125" style="1" customWidth="1"/>
    <col min="7677" max="7677" width="17.140625" style="1" customWidth="1"/>
    <col min="7678" max="7921" width="9.140625" style="1"/>
    <col min="7922" max="7922" width="9.7109375" style="1" customWidth="1"/>
    <col min="7923" max="7923" width="47.28515625" style="1" customWidth="1"/>
    <col min="7924" max="7924" width="10.140625" style="1" customWidth="1"/>
    <col min="7925" max="7925" width="6.7109375" style="1" customWidth="1"/>
    <col min="7926" max="7926" width="22.42578125" style="1" customWidth="1"/>
    <col min="7927" max="7927" width="25.28515625" style="1" customWidth="1"/>
    <col min="7928" max="7928" width="31.85546875" style="1" customWidth="1"/>
    <col min="7929" max="7929" width="33.5703125" style="1" customWidth="1"/>
    <col min="7930" max="7930" width="24.85546875" style="1" customWidth="1"/>
    <col min="7931" max="7931" width="23.140625" style="1" bestFit="1" customWidth="1"/>
    <col min="7932" max="7932" width="26.5703125" style="1" customWidth="1"/>
    <col min="7933" max="7933" width="17.140625" style="1" customWidth="1"/>
    <col min="7934" max="8177" width="9.140625" style="1"/>
    <col min="8178" max="8178" width="9.7109375" style="1" customWidth="1"/>
    <col min="8179" max="8179" width="47.28515625" style="1" customWidth="1"/>
    <col min="8180" max="8180" width="10.140625" style="1" customWidth="1"/>
    <col min="8181" max="8181" width="6.7109375" style="1" customWidth="1"/>
    <col min="8182" max="8182" width="22.42578125" style="1" customWidth="1"/>
    <col min="8183" max="8183" width="25.28515625" style="1" customWidth="1"/>
    <col min="8184" max="8184" width="31.85546875" style="1" customWidth="1"/>
    <col min="8185" max="8185" width="33.5703125" style="1" customWidth="1"/>
    <col min="8186" max="8186" width="24.85546875" style="1" customWidth="1"/>
    <col min="8187" max="8187" width="23.140625" style="1" bestFit="1" customWidth="1"/>
    <col min="8188" max="8188" width="26.5703125" style="1" customWidth="1"/>
    <col min="8189" max="8189" width="17.140625" style="1" customWidth="1"/>
    <col min="8190" max="8433" width="9.140625" style="1"/>
    <col min="8434" max="8434" width="9.7109375" style="1" customWidth="1"/>
    <col min="8435" max="8435" width="47.28515625" style="1" customWidth="1"/>
    <col min="8436" max="8436" width="10.140625" style="1" customWidth="1"/>
    <col min="8437" max="8437" width="6.7109375" style="1" customWidth="1"/>
    <col min="8438" max="8438" width="22.42578125" style="1" customWidth="1"/>
    <col min="8439" max="8439" width="25.28515625" style="1" customWidth="1"/>
    <col min="8440" max="8440" width="31.85546875" style="1" customWidth="1"/>
    <col min="8441" max="8441" width="33.5703125" style="1" customWidth="1"/>
    <col min="8442" max="8442" width="24.85546875" style="1" customWidth="1"/>
    <col min="8443" max="8443" width="23.140625" style="1" bestFit="1" customWidth="1"/>
    <col min="8444" max="8444" width="26.5703125" style="1" customWidth="1"/>
    <col min="8445" max="8445" width="17.140625" style="1" customWidth="1"/>
    <col min="8446" max="8689" width="9.140625" style="1"/>
    <col min="8690" max="8690" width="9.7109375" style="1" customWidth="1"/>
    <col min="8691" max="8691" width="47.28515625" style="1" customWidth="1"/>
    <col min="8692" max="8692" width="10.140625" style="1" customWidth="1"/>
    <col min="8693" max="8693" width="6.7109375" style="1" customWidth="1"/>
    <col min="8694" max="8694" width="22.42578125" style="1" customWidth="1"/>
    <col min="8695" max="8695" width="25.28515625" style="1" customWidth="1"/>
    <col min="8696" max="8696" width="31.85546875" style="1" customWidth="1"/>
    <col min="8697" max="8697" width="33.5703125" style="1" customWidth="1"/>
    <col min="8698" max="8698" width="24.85546875" style="1" customWidth="1"/>
    <col min="8699" max="8699" width="23.140625" style="1" bestFit="1" customWidth="1"/>
    <col min="8700" max="8700" width="26.5703125" style="1" customWidth="1"/>
    <col min="8701" max="8701" width="17.140625" style="1" customWidth="1"/>
    <col min="8702" max="8945" width="9.140625" style="1"/>
    <col min="8946" max="8946" width="9.7109375" style="1" customWidth="1"/>
    <col min="8947" max="8947" width="47.28515625" style="1" customWidth="1"/>
    <col min="8948" max="8948" width="10.140625" style="1" customWidth="1"/>
    <col min="8949" max="8949" width="6.7109375" style="1" customWidth="1"/>
    <col min="8950" max="8950" width="22.42578125" style="1" customWidth="1"/>
    <col min="8951" max="8951" width="25.28515625" style="1" customWidth="1"/>
    <col min="8952" max="8952" width="31.85546875" style="1" customWidth="1"/>
    <col min="8953" max="8953" width="33.5703125" style="1" customWidth="1"/>
    <col min="8954" max="8954" width="24.85546875" style="1" customWidth="1"/>
    <col min="8955" max="8955" width="23.140625" style="1" bestFit="1" customWidth="1"/>
    <col min="8956" max="8956" width="26.5703125" style="1" customWidth="1"/>
    <col min="8957" max="8957" width="17.140625" style="1" customWidth="1"/>
    <col min="8958" max="9201" width="9.140625" style="1"/>
    <col min="9202" max="9202" width="9.7109375" style="1" customWidth="1"/>
    <col min="9203" max="9203" width="47.28515625" style="1" customWidth="1"/>
    <col min="9204" max="9204" width="10.140625" style="1" customWidth="1"/>
    <col min="9205" max="9205" width="6.7109375" style="1" customWidth="1"/>
    <col min="9206" max="9206" width="22.42578125" style="1" customWidth="1"/>
    <col min="9207" max="9207" width="25.28515625" style="1" customWidth="1"/>
    <col min="9208" max="9208" width="31.85546875" style="1" customWidth="1"/>
    <col min="9209" max="9209" width="33.5703125" style="1" customWidth="1"/>
    <col min="9210" max="9210" width="24.85546875" style="1" customWidth="1"/>
    <col min="9211" max="9211" width="23.140625" style="1" bestFit="1" customWidth="1"/>
    <col min="9212" max="9212" width="26.5703125" style="1" customWidth="1"/>
    <col min="9213" max="9213" width="17.140625" style="1" customWidth="1"/>
    <col min="9214" max="9457" width="9.140625" style="1"/>
    <col min="9458" max="9458" width="9.7109375" style="1" customWidth="1"/>
    <col min="9459" max="9459" width="47.28515625" style="1" customWidth="1"/>
    <col min="9460" max="9460" width="10.140625" style="1" customWidth="1"/>
    <col min="9461" max="9461" width="6.7109375" style="1" customWidth="1"/>
    <col min="9462" max="9462" width="22.42578125" style="1" customWidth="1"/>
    <col min="9463" max="9463" width="25.28515625" style="1" customWidth="1"/>
    <col min="9464" max="9464" width="31.85546875" style="1" customWidth="1"/>
    <col min="9465" max="9465" width="33.5703125" style="1" customWidth="1"/>
    <col min="9466" max="9466" width="24.85546875" style="1" customWidth="1"/>
    <col min="9467" max="9467" width="23.140625" style="1" bestFit="1" customWidth="1"/>
    <col min="9468" max="9468" width="26.5703125" style="1" customWidth="1"/>
    <col min="9469" max="9469" width="17.140625" style="1" customWidth="1"/>
    <col min="9470" max="9713" width="9.140625" style="1"/>
    <col min="9714" max="9714" width="9.7109375" style="1" customWidth="1"/>
    <col min="9715" max="9715" width="47.28515625" style="1" customWidth="1"/>
    <col min="9716" max="9716" width="10.140625" style="1" customWidth="1"/>
    <col min="9717" max="9717" width="6.7109375" style="1" customWidth="1"/>
    <col min="9718" max="9718" width="22.42578125" style="1" customWidth="1"/>
    <col min="9719" max="9719" width="25.28515625" style="1" customWidth="1"/>
    <col min="9720" max="9720" width="31.85546875" style="1" customWidth="1"/>
    <col min="9721" max="9721" width="33.5703125" style="1" customWidth="1"/>
    <col min="9722" max="9722" width="24.85546875" style="1" customWidth="1"/>
    <col min="9723" max="9723" width="23.140625" style="1" bestFit="1" customWidth="1"/>
    <col min="9724" max="9724" width="26.5703125" style="1" customWidth="1"/>
    <col min="9725" max="9725" width="17.140625" style="1" customWidth="1"/>
    <col min="9726" max="9969" width="9.140625" style="1"/>
    <col min="9970" max="9970" width="9.7109375" style="1" customWidth="1"/>
    <col min="9971" max="9971" width="47.28515625" style="1" customWidth="1"/>
    <col min="9972" max="9972" width="10.140625" style="1" customWidth="1"/>
    <col min="9973" max="9973" width="6.7109375" style="1" customWidth="1"/>
    <col min="9974" max="9974" width="22.42578125" style="1" customWidth="1"/>
    <col min="9975" max="9975" width="25.28515625" style="1" customWidth="1"/>
    <col min="9976" max="9976" width="31.85546875" style="1" customWidth="1"/>
    <col min="9977" max="9977" width="33.5703125" style="1" customWidth="1"/>
    <col min="9978" max="9978" width="24.85546875" style="1" customWidth="1"/>
    <col min="9979" max="9979" width="23.140625" style="1" bestFit="1" customWidth="1"/>
    <col min="9980" max="9980" width="26.5703125" style="1" customWidth="1"/>
    <col min="9981" max="9981" width="17.140625" style="1" customWidth="1"/>
    <col min="9982" max="10225" width="9.140625" style="1"/>
    <col min="10226" max="10226" width="9.7109375" style="1" customWidth="1"/>
    <col min="10227" max="10227" width="47.28515625" style="1" customWidth="1"/>
    <col min="10228" max="10228" width="10.140625" style="1" customWidth="1"/>
    <col min="10229" max="10229" width="6.7109375" style="1" customWidth="1"/>
    <col min="10230" max="10230" width="22.42578125" style="1" customWidth="1"/>
    <col min="10231" max="10231" width="25.28515625" style="1" customWidth="1"/>
    <col min="10232" max="10232" width="31.85546875" style="1" customWidth="1"/>
    <col min="10233" max="10233" width="33.5703125" style="1" customWidth="1"/>
    <col min="10234" max="10234" width="24.85546875" style="1" customWidth="1"/>
    <col min="10235" max="10235" width="23.140625" style="1" bestFit="1" customWidth="1"/>
    <col min="10236" max="10236" width="26.5703125" style="1" customWidth="1"/>
    <col min="10237" max="10237" width="17.140625" style="1" customWidth="1"/>
    <col min="10238" max="10481" width="9.140625" style="1"/>
    <col min="10482" max="10482" width="9.7109375" style="1" customWidth="1"/>
    <col min="10483" max="10483" width="47.28515625" style="1" customWidth="1"/>
    <col min="10484" max="10484" width="10.140625" style="1" customWidth="1"/>
    <col min="10485" max="10485" width="6.7109375" style="1" customWidth="1"/>
    <col min="10486" max="10486" width="22.42578125" style="1" customWidth="1"/>
    <col min="10487" max="10487" width="25.28515625" style="1" customWidth="1"/>
    <col min="10488" max="10488" width="31.85546875" style="1" customWidth="1"/>
    <col min="10489" max="10489" width="33.5703125" style="1" customWidth="1"/>
    <col min="10490" max="10490" width="24.85546875" style="1" customWidth="1"/>
    <col min="10491" max="10491" width="23.140625" style="1" bestFit="1" customWidth="1"/>
    <col min="10492" max="10492" width="26.5703125" style="1" customWidth="1"/>
    <col min="10493" max="10493" width="17.140625" style="1" customWidth="1"/>
    <col min="10494" max="10737" width="9.140625" style="1"/>
    <col min="10738" max="10738" width="9.7109375" style="1" customWidth="1"/>
    <col min="10739" max="10739" width="47.28515625" style="1" customWidth="1"/>
    <col min="10740" max="10740" width="10.140625" style="1" customWidth="1"/>
    <col min="10741" max="10741" width="6.7109375" style="1" customWidth="1"/>
    <col min="10742" max="10742" width="22.42578125" style="1" customWidth="1"/>
    <col min="10743" max="10743" width="25.28515625" style="1" customWidth="1"/>
    <col min="10744" max="10744" width="31.85546875" style="1" customWidth="1"/>
    <col min="10745" max="10745" width="33.5703125" style="1" customWidth="1"/>
    <col min="10746" max="10746" width="24.85546875" style="1" customWidth="1"/>
    <col min="10747" max="10747" width="23.140625" style="1" bestFit="1" customWidth="1"/>
    <col min="10748" max="10748" width="26.5703125" style="1" customWidth="1"/>
    <col min="10749" max="10749" width="17.140625" style="1" customWidth="1"/>
    <col min="10750" max="10993" width="9.140625" style="1"/>
    <col min="10994" max="10994" width="9.7109375" style="1" customWidth="1"/>
    <col min="10995" max="10995" width="47.28515625" style="1" customWidth="1"/>
    <col min="10996" max="10996" width="10.140625" style="1" customWidth="1"/>
    <col min="10997" max="10997" width="6.7109375" style="1" customWidth="1"/>
    <col min="10998" max="10998" width="22.42578125" style="1" customWidth="1"/>
    <col min="10999" max="10999" width="25.28515625" style="1" customWidth="1"/>
    <col min="11000" max="11000" width="31.85546875" style="1" customWidth="1"/>
    <col min="11001" max="11001" width="33.5703125" style="1" customWidth="1"/>
    <col min="11002" max="11002" width="24.85546875" style="1" customWidth="1"/>
    <col min="11003" max="11003" width="23.140625" style="1" bestFit="1" customWidth="1"/>
    <col min="11004" max="11004" width="26.5703125" style="1" customWidth="1"/>
    <col min="11005" max="11005" width="17.140625" style="1" customWidth="1"/>
    <col min="11006" max="11249" width="9.140625" style="1"/>
    <col min="11250" max="11250" width="9.7109375" style="1" customWidth="1"/>
    <col min="11251" max="11251" width="47.28515625" style="1" customWidth="1"/>
    <col min="11252" max="11252" width="10.140625" style="1" customWidth="1"/>
    <col min="11253" max="11253" width="6.7109375" style="1" customWidth="1"/>
    <col min="11254" max="11254" width="22.42578125" style="1" customWidth="1"/>
    <col min="11255" max="11255" width="25.28515625" style="1" customWidth="1"/>
    <col min="11256" max="11256" width="31.85546875" style="1" customWidth="1"/>
    <col min="11257" max="11257" width="33.5703125" style="1" customWidth="1"/>
    <col min="11258" max="11258" width="24.85546875" style="1" customWidth="1"/>
    <col min="11259" max="11259" width="23.140625" style="1" bestFit="1" customWidth="1"/>
    <col min="11260" max="11260" width="26.5703125" style="1" customWidth="1"/>
    <col min="11261" max="11261" width="17.140625" style="1" customWidth="1"/>
    <col min="11262" max="11505" width="9.140625" style="1"/>
    <col min="11506" max="11506" width="9.7109375" style="1" customWidth="1"/>
    <col min="11507" max="11507" width="47.28515625" style="1" customWidth="1"/>
    <col min="11508" max="11508" width="10.140625" style="1" customWidth="1"/>
    <col min="11509" max="11509" width="6.7109375" style="1" customWidth="1"/>
    <col min="11510" max="11510" width="22.42578125" style="1" customWidth="1"/>
    <col min="11511" max="11511" width="25.28515625" style="1" customWidth="1"/>
    <col min="11512" max="11512" width="31.85546875" style="1" customWidth="1"/>
    <col min="11513" max="11513" width="33.5703125" style="1" customWidth="1"/>
    <col min="11514" max="11514" width="24.85546875" style="1" customWidth="1"/>
    <col min="11515" max="11515" width="23.140625" style="1" bestFit="1" customWidth="1"/>
    <col min="11516" max="11516" width="26.5703125" style="1" customWidth="1"/>
    <col min="11517" max="11517" width="17.140625" style="1" customWidth="1"/>
    <col min="11518" max="11761" width="9.140625" style="1"/>
    <col min="11762" max="11762" width="9.7109375" style="1" customWidth="1"/>
    <col min="11763" max="11763" width="47.28515625" style="1" customWidth="1"/>
    <col min="11764" max="11764" width="10.140625" style="1" customWidth="1"/>
    <col min="11765" max="11765" width="6.7109375" style="1" customWidth="1"/>
    <col min="11766" max="11766" width="22.42578125" style="1" customWidth="1"/>
    <col min="11767" max="11767" width="25.28515625" style="1" customWidth="1"/>
    <col min="11768" max="11768" width="31.85546875" style="1" customWidth="1"/>
    <col min="11769" max="11769" width="33.5703125" style="1" customWidth="1"/>
    <col min="11770" max="11770" width="24.85546875" style="1" customWidth="1"/>
    <col min="11771" max="11771" width="23.140625" style="1" bestFit="1" customWidth="1"/>
    <col min="11772" max="11772" width="26.5703125" style="1" customWidth="1"/>
    <col min="11773" max="11773" width="17.140625" style="1" customWidth="1"/>
    <col min="11774" max="12017" width="9.140625" style="1"/>
    <col min="12018" max="12018" width="9.7109375" style="1" customWidth="1"/>
    <col min="12019" max="12019" width="47.28515625" style="1" customWidth="1"/>
    <col min="12020" max="12020" width="10.140625" style="1" customWidth="1"/>
    <col min="12021" max="12021" width="6.7109375" style="1" customWidth="1"/>
    <col min="12022" max="12022" width="22.42578125" style="1" customWidth="1"/>
    <col min="12023" max="12023" width="25.28515625" style="1" customWidth="1"/>
    <col min="12024" max="12024" width="31.85546875" style="1" customWidth="1"/>
    <col min="12025" max="12025" width="33.5703125" style="1" customWidth="1"/>
    <col min="12026" max="12026" width="24.85546875" style="1" customWidth="1"/>
    <col min="12027" max="12027" width="23.140625" style="1" bestFit="1" customWidth="1"/>
    <col min="12028" max="12028" width="26.5703125" style="1" customWidth="1"/>
    <col min="12029" max="12029" width="17.140625" style="1" customWidth="1"/>
    <col min="12030" max="12273" width="9.140625" style="1"/>
    <col min="12274" max="12274" width="9.7109375" style="1" customWidth="1"/>
    <col min="12275" max="12275" width="47.28515625" style="1" customWidth="1"/>
    <col min="12276" max="12276" width="10.140625" style="1" customWidth="1"/>
    <col min="12277" max="12277" width="6.7109375" style="1" customWidth="1"/>
    <col min="12278" max="12278" width="22.42578125" style="1" customWidth="1"/>
    <col min="12279" max="12279" width="25.28515625" style="1" customWidth="1"/>
    <col min="12280" max="12280" width="31.85546875" style="1" customWidth="1"/>
    <col min="12281" max="12281" width="33.5703125" style="1" customWidth="1"/>
    <col min="12282" max="12282" width="24.85546875" style="1" customWidth="1"/>
    <col min="12283" max="12283" width="23.140625" style="1" bestFit="1" customWidth="1"/>
    <col min="12284" max="12284" width="26.5703125" style="1" customWidth="1"/>
    <col min="12285" max="12285" width="17.140625" style="1" customWidth="1"/>
    <col min="12286" max="12529" width="9.140625" style="1"/>
    <col min="12530" max="12530" width="9.7109375" style="1" customWidth="1"/>
    <col min="12531" max="12531" width="47.28515625" style="1" customWidth="1"/>
    <col min="12532" max="12532" width="10.140625" style="1" customWidth="1"/>
    <col min="12533" max="12533" width="6.7109375" style="1" customWidth="1"/>
    <col min="12534" max="12534" width="22.42578125" style="1" customWidth="1"/>
    <col min="12535" max="12535" width="25.28515625" style="1" customWidth="1"/>
    <col min="12536" max="12536" width="31.85546875" style="1" customWidth="1"/>
    <col min="12537" max="12537" width="33.5703125" style="1" customWidth="1"/>
    <col min="12538" max="12538" width="24.85546875" style="1" customWidth="1"/>
    <col min="12539" max="12539" width="23.140625" style="1" bestFit="1" customWidth="1"/>
    <col min="12540" max="12540" width="26.5703125" style="1" customWidth="1"/>
    <col min="12541" max="12541" width="17.140625" style="1" customWidth="1"/>
    <col min="12542" max="12785" width="9.140625" style="1"/>
    <col min="12786" max="12786" width="9.7109375" style="1" customWidth="1"/>
    <col min="12787" max="12787" width="47.28515625" style="1" customWidth="1"/>
    <col min="12788" max="12788" width="10.140625" style="1" customWidth="1"/>
    <col min="12789" max="12789" width="6.7109375" style="1" customWidth="1"/>
    <col min="12790" max="12790" width="22.42578125" style="1" customWidth="1"/>
    <col min="12791" max="12791" width="25.28515625" style="1" customWidth="1"/>
    <col min="12792" max="12792" width="31.85546875" style="1" customWidth="1"/>
    <col min="12793" max="12793" width="33.5703125" style="1" customWidth="1"/>
    <col min="12794" max="12794" width="24.85546875" style="1" customWidth="1"/>
    <col min="12795" max="12795" width="23.140625" style="1" bestFit="1" customWidth="1"/>
    <col min="12796" max="12796" width="26.5703125" style="1" customWidth="1"/>
    <col min="12797" max="12797" width="17.140625" style="1" customWidth="1"/>
    <col min="12798" max="13041" width="9.140625" style="1"/>
    <col min="13042" max="13042" width="9.7109375" style="1" customWidth="1"/>
    <col min="13043" max="13043" width="47.28515625" style="1" customWidth="1"/>
    <col min="13044" max="13044" width="10.140625" style="1" customWidth="1"/>
    <col min="13045" max="13045" width="6.7109375" style="1" customWidth="1"/>
    <col min="13046" max="13046" width="22.42578125" style="1" customWidth="1"/>
    <col min="13047" max="13047" width="25.28515625" style="1" customWidth="1"/>
    <col min="13048" max="13048" width="31.85546875" style="1" customWidth="1"/>
    <col min="13049" max="13049" width="33.5703125" style="1" customWidth="1"/>
    <col min="13050" max="13050" width="24.85546875" style="1" customWidth="1"/>
    <col min="13051" max="13051" width="23.140625" style="1" bestFit="1" customWidth="1"/>
    <col min="13052" max="13052" width="26.5703125" style="1" customWidth="1"/>
    <col min="13053" max="13053" width="17.140625" style="1" customWidth="1"/>
    <col min="13054" max="13297" width="9.140625" style="1"/>
    <col min="13298" max="13298" width="9.7109375" style="1" customWidth="1"/>
    <col min="13299" max="13299" width="47.28515625" style="1" customWidth="1"/>
    <col min="13300" max="13300" width="10.140625" style="1" customWidth="1"/>
    <col min="13301" max="13301" width="6.7109375" style="1" customWidth="1"/>
    <col min="13302" max="13302" width="22.42578125" style="1" customWidth="1"/>
    <col min="13303" max="13303" width="25.28515625" style="1" customWidth="1"/>
    <col min="13304" max="13304" width="31.85546875" style="1" customWidth="1"/>
    <col min="13305" max="13305" width="33.5703125" style="1" customWidth="1"/>
    <col min="13306" max="13306" width="24.85546875" style="1" customWidth="1"/>
    <col min="13307" max="13307" width="23.140625" style="1" bestFit="1" customWidth="1"/>
    <col min="13308" max="13308" width="26.5703125" style="1" customWidth="1"/>
    <col min="13309" max="13309" width="17.140625" style="1" customWidth="1"/>
    <col min="13310" max="13553" width="9.140625" style="1"/>
    <col min="13554" max="13554" width="9.7109375" style="1" customWidth="1"/>
    <col min="13555" max="13555" width="47.28515625" style="1" customWidth="1"/>
    <col min="13556" max="13556" width="10.140625" style="1" customWidth="1"/>
    <col min="13557" max="13557" width="6.7109375" style="1" customWidth="1"/>
    <col min="13558" max="13558" width="22.42578125" style="1" customWidth="1"/>
    <col min="13559" max="13559" width="25.28515625" style="1" customWidth="1"/>
    <col min="13560" max="13560" width="31.85546875" style="1" customWidth="1"/>
    <col min="13561" max="13561" width="33.5703125" style="1" customWidth="1"/>
    <col min="13562" max="13562" width="24.85546875" style="1" customWidth="1"/>
    <col min="13563" max="13563" width="23.140625" style="1" bestFit="1" customWidth="1"/>
    <col min="13564" max="13564" width="26.5703125" style="1" customWidth="1"/>
    <col min="13565" max="13565" width="17.140625" style="1" customWidth="1"/>
    <col min="13566" max="13809" width="9.140625" style="1"/>
    <col min="13810" max="13810" width="9.7109375" style="1" customWidth="1"/>
    <col min="13811" max="13811" width="47.28515625" style="1" customWidth="1"/>
    <col min="13812" max="13812" width="10.140625" style="1" customWidth="1"/>
    <col min="13813" max="13813" width="6.7109375" style="1" customWidth="1"/>
    <col min="13814" max="13814" width="22.42578125" style="1" customWidth="1"/>
    <col min="13815" max="13815" width="25.28515625" style="1" customWidth="1"/>
    <col min="13816" max="13816" width="31.85546875" style="1" customWidth="1"/>
    <col min="13817" max="13817" width="33.5703125" style="1" customWidth="1"/>
    <col min="13818" max="13818" width="24.85546875" style="1" customWidth="1"/>
    <col min="13819" max="13819" width="23.140625" style="1" bestFit="1" customWidth="1"/>
    <col min="13820" max="13820" width="26.5703125" style="1" customWidth="1"/>
    <col min="13821" max="13821" width="17.140625" style="1" customWidth="1"/>
    <col min="13822" max="14065" width="9.140625" style="1"/>
    <col min="14066" max="14066" width="9.7109375" style="1" customWidth="1"/>
    <col min="14067" max="14067" width="47.28515625" style="1" customWidth="1"/>
    <col min="14068" max="14068" width="10.140625" style="1" customWidth="1"/>
    <col min="14069" max="14069" width="6.7109375" style="1" customWidth="1"/>
    <col min="14070" max="14070" width="22.42578125" style="1" customWidth="1"/>
    <col min="14071" max="14071" width="25.28515625" style="1" customWidth="1"/>
    <col min="14072" max="14072" width="31.85546875" style="1" customWidth="1"/>
    <col min="14073" max="14073" width="33.5703125" style="1" customWidth="1"/>
    <col min="14074" max="14074" width="24.85546875" style="1" customWidth="1"/>
    <col min="14075" max="14075" width="23.140625" style="1" bestFit="1" customWidth="1"/>
    <col min="14076" max="14076" width="26.5703125" style="1" customWidth="1"/>
    <col min="14077" max="14077" width="17.140625" style="1" customWidth="1"/>
    <col min="14078" max="14321" width="9.140625" style="1"/>
    <col min="14322" max="14322" width="9.7109375" style="1" customWidth="1"/>
    <col min="14323" max="14323" width="47.28515625" style="1" customWidth="1"/>
    <col min="14324" max="14324" width="10.140625" style="1" customWidth="1"/>
    <col min="14325" max="14325" width="6.7109375" style="1" customWidth="1"/>
    <col min="14326" max="14326" width="22.42578125" style="1" customWidth="1"/>
    <col min="14327" max="14327" width="25.28515625" style="1" customWidth="1"/>
    <col min="14328" max="14328" width="31.85546875" style="1" customWidth="1"/>
    <col min="14329" max="14329" width="33.5703125" style="1" customWidth="1"/>
    <col min="14330" max="14330" width="24.85546875" style="1" customWidth="1"/>
    <col min="14331" max="14331" width="23.140625" style="1" bestFit="1" customWidth="1"/>
    <col min="14332" max="14332" width="26.5703125" style="1" customWidth="1"/>
    <col min="14333" max="14333" width="17.140625" style="1" customWidth="1"/>
    <col min="14334" max="14577" width="9.140625" style="1"/>
    <col min="14578" max="14578" width="9.7109375" style="1" customWidth="1"/>
    <col min="14579" max="14579" width="47.28515625" style="1" customWidth="1"/>
    <col min="14580" max="14580" width="10.140625" style="1" customWidth="1"/>
    <col min="14581" max="14581" width="6.7109375" style="1" customWidth="1"/>
    <col min="14582" max="14582" width="22.42578125" style="1" customWidth="1"/>
    <col min="14583" max="14583" width="25.28515625" style="1" customWidth="1"/>
    <col min="14584" max="14584" width="31.85546875" style="1" customWidth="1"/>
    <col min="14585" max="14585" width="33.5703125" style="1" customWidth="1"/>
    <col min="14586" max="14586" width="24.85546875" style="1" customWidth="1"/>
    <col min="14587" max="14587" width="23.140625" style="1" bestFit="1" customWidth="1"/>
    <col min="14588" max="14588" width="26.5703125" style="1" customWidth="1"/>
    <col min="14589" max="14589" width="17.140625" style="1" customWidth="1"/>
    <col min="14590" max="14833" width="9.140625" style="1"/>
    <col min="14834" max="14834" width="9.7109375" style="1" customWidth="1"/>
    <col min="14835" max="14835" width="47.28515625" style="1" customWidth="1"/>
    <col min="14836" max="14836" width="10.140625" style="1" customWidth="1"/>
    <col min="14837" max="14837" width="6.7109375" style="1" customWidth="1"/>
    <col min="14838" max="14838" width="22.42578125" style="1" customWidth="1"/>
    <col min="14839" max="14839" width="25.28515625" style="1" customWidth="1"/>
    <col min="14840" max="14840" width="31.85546875" style="1" customWidth="1"/>
    <col min="14841" max="14841" width="33.5703125" style="1" customWidth="1"/>
    <col min="14842" max="14842" width="24.85546875" style="1" customWidth="1"/>
    <col min="14843" max="14843" width="23.140625" style="1" bestFit="1" customWidth="1"/>
    <col min="14844" max="14844" width="26.5703125" style="1" customWidth="1"/>
    <col min="14845" max="14845" width="17.140625" style="1" customWidth="1"/>
    <col min="14846" max="15089" width="9.140625" style="1"/>
    <col min="15090" max="15090" width="9.7109375" style="1" customWidth="1"/>
    <col min="15091" max="15091" width="47.28515625" style="1" customWidth="1"/>
    <col min="15092" max="15092" width="10.140625" style="1" customWidth="1"/>
    <col min="15093" max="15093" width="6.7109375" style="1" customWidth="1"/>
    <col min="15094" max="15094" width="22.42578125" style="1" customWidth="1"/>
    <col min="15095" max="15095" width="25.28515625" style="1" customWidth="1"/>
    <col min="15096" max="15096" width="31.85546875" style="1" customWidth="1"/>
    <col min="15097" max="15097" width="33.5703125" style="1" customWidth="1"/>
    <col min="15098" max="15098" width="24.85546875" style="1" customWidth="1"/>
    <col min="15099" max="15099" width="23.140625" style="1" bestFit="1" customWidth="1"/>
    <col min="15100" max="15100" width="26.5703125" style="1" customWidth="1"/>
    <col min="15101" max="15101" width="17.140625" style="1" customWidth="1"/>
    <col min="15102" max="15345" width="9.140625" style="1"/>
    <col min="15346" max="15346" width="9.7109375" style="1" customWidth="1"/>
    <col min="15347" max="15347" width="47.28515625" style="1" customWidth="1"/>
    <col min="15348" max="15348" width="10.140625" style="1" customWidth="1"/>
    <col min="15349" max="15349" width="6.7109375" style="1" customWidth="1"/>
    <col min="15350" max="15350" width="22.42578125" style="1" customWidth="1"/>
    <col min="15351" max="15351" width="25.28515625" style="1" customWidth="1"/>
    <col min="15352" max="15352" width="31.85546875" style="1" customWidth="1"/>
    <col min="15353" max="15353" width="33.5703125" style="1" customWidth="1"/>
    <col min="15354" max="15354" width="24.85546875" style="1" customWidth="1"/>
    <col min="15355" max="15355" width="23.140625" style="1" bestFit="1" customWidth="1"/>
    <col min="15356" max="15356" width="26.5703125" style="1" customWidth="1"/>
    <col min="15357" max="15357" width="17.140625" style="1" customWidth="1"/>
    <col min="15358" max="15601" width="9.140625" style="1"/>
    <col min="15602" max="15602" width="9.7109375" style="1" customWidth="1"/>
    <col min="15603" max="15603" width="47.28515625" style="1" customWidth="1"/>
    <col min="15604" max="15604" width="10.140625" style="1" customWidth="1"/>
    <col min="15605" max="15605" width="6.7109375" style="1" customWidth="1"/>
    <col min="15606" max="15606" width="22.42578125" style="1" customWidth="1"/>
    <col min="15607" max="15607" width="25.28515625" style="1" customWidth="1"/>
    <col min="15608" max="15608" width="31.85546875" style="1" customWidth="1"/>
    <col min="15609" max="15609" width="33.5703125" style="1" customWidth="1"/>
    <col min="15610" max="15610" width="24.85546875" style="1" customWidth="1"/>
    <col min="15611" max="15611" width="23.140625" style="1" bestFit="1" customWidth="1"/>
    <col min="15612" max="15612" width="26.5703125" style="1" customWidth="1"/>
    <col min="15613" max="15613" width="17.140625" style="1" customWidth="1"/>
    <col min="15614" max="15857" width="9.140625" style="1"/>
    <col min="15858" max="15858" width="9.7109375" style="1" customWidth="1"/>
    <col min="15859" max="15859" width="47.28515625" style="1" customWidth="1"/>
    <col min="15860" max="15860" width="10.140625" style="1" customWidth="1"/>
    <col min="15861" max="15861" width="6.7109375" style="1" customWidth="1"/>
    <col min="15862" max="15862" width="22.42578125" style="1" customWidth="1"/>
    <col min="15863" max="15863" width="25.28515625" style="1" customWidth="1"/>
    <col min="15864" max="15864" width="31.85546875" style="1" customWidth="1"/>
    <col min="15865" max="15865" width="33.5703125" style="1" customWidth="1"/>
    <col min="15866" max="15866" width="24.85546875" style="1" customWidth="1"/>
    <col min="15867" max="15867" width="23.140625" style="1" bestFit="1" customWidth="1"/>
    <col min="15868" max="15868" width="26.5703125" style="1" customWidth="1"/>
    <col min="15869" max="15869" width="17.140625" style="1" customWidth="1"/>
    <col min="15870" max="16113" width="9.140625" style="1"/>
    <col min="16114" max="16114" width="9.7109375" style="1" customWidth="1"/>
    <col min="16115" max="16115" width="47.28515625" style="1" customWidth="1"/>
    <col min="16116" max="16116" width="10.140625" style="1" customWidth="1"/>
    <col min="16117" max="16117" width="6.7109375" style="1" customWidth="1"/>
    <col min="16118" max="16118" width="22.42578125" style="1" customWidth="1"/>
    <col min="16119" max="16119" width="25.28515625" style="1" customWidth="1"/>
    <col min="16120" max="16120" width="31.85546875" style="1" customWidth="1"/>
    <col min="16121" max="16121" width="33.5703125" style="1" customWidth="1"/>
    <col min="16122" max="16122" width="24.85546875" style="1" customWidth="1"/>
    <col min="16123" max="16123" width="23.140625" style="1" bestFit="1" customWidth="1"/>
    <col min="16124" max="16124" width="26.5703125" style="1" customWidth="1"/>
    <col min="16125" max="16125" width="17.140625" style="1" customWidth="1"/>
    <col min="16126" max="16384" width="9.140625" style="1"/>
  </cols>
  <sheetData>
    <row r="1" spans="1:5" s="3" customFormat="1" ht="21">
      <c r="A1" s="123" t="s">
        <v>50</v>
      </c>
      <c r="B1" s="12"/>
      <c r="C1" s="12"/>
      <c r="D1" s="13"/>
      <c r="E1" s="14"/>
    </row>
    <row r="2" spans="1:5" s="3" customFormat="1" ht="18.75">
      <c r="A2" s="15" t="s">
        <v>43</v>
      </c>
      <c r="B2" s="16"/>
      <c r="C2" s="16" t="s">
        <v>44</v>
      </c>
      <c r="D2" s="17" t="s">
        <v>174</v>
      </c>
      <c r="E2" s="18"/>
    </row>
    <row r="3" spans="1:5" s="3" customFormat="1" ht="18.75">
      <c r="A3" s="15" t="s">
        <v>45</v>
      </c>
      <c r="B3" s="16"/>
      <c r="C3" s="16" t="s">
        <v>44</v>
      </c>
      <c r="D3" s="17" t="s">
        <v>175</v>
      </c>
      <c r="E3" s="18"/>
    </row>
    <row r="4" spans="1:5" s="3" customFormat="1" ht="15.75" customHeight="1" thickBot="1">
      <c r="A4" s="19" t="s">
        <v>46</v>
      </c>
      <c r="B4" s="20"/>
      <c r="C4" s="20" t="s">
        <v>44</v>
      </c>
      <c r="D4" s="21"/>
      <c r="E4" s="22"/>
    </row>
    <row r="5" spans="1:5" s="4" customFormat="1" ht="23.25" customHeight="1">
      <c r="A5" s="217" t="s">
        <v>110</v>
      </c>
      <c r="B5" s="219" t="s">
        <v>1</v>
      </c>
      <c r="C5" s="220"/>
      <c r="D5" s="221"/>
      <c r="E5" s="23" t="s">
        <v>48</v>
      </c>
    </row>
    <row r="6" spans="1:5" s="4" customFormat="1" ht="15" customHeight="1" thickBot="1">
      <c r="A6" s="218"/>
      <c r="B6" s="222"/>
      <c r="C6" s="223"/>
      <c r="D6" s="224"/>
      <c r="E6" s="24" t="s">
        <v>49</v>
      </c>
    </row>
    <row r="7" spans="1:5" ht="19.5" thickTop="1">
      <c r="A7" s="25" t="s">
        <v>2</v>
      </c>
      <c r="B7" s="108" t="str">
        <f>RAB!B7</f>
        <v>LANTAI DASAR</v>
      </c>
      <c r="C7" s="26"/>
      <c r="D7" s="27"/>
      <c r="E7" s="28"/>
    </row>
    <row r="8" spans="1:5" ht="15.75">
      <c r="A8" s="110" t="s">
        <v>2</v>
      </c>
      <c r="B8" s="111" t="str">
        <f>RAB!B8</f>
        <v>PEKERJAAN PERSIAPAN</v>
      </c>
      <c r="C8" s="31"/>
      <c r="D8" s="32"/>
      <c r="E8" s="33">
        <f>RAB!L15</f>
        <v>26135100</v>
      </c>
    </row>
    <row r="9" spans="1:5" ht="16.5">
      <c r="A9" s="110" t="s">
        <v>4</v>
      </c>
      <c r="B9" s="111" t="str">
        <f>RAB!B17</f>
        <v>PEKERJAAN TANAH + PONDASI</v>
      </c>
      <c r="C9" s="34"/>
      <c r="D9" s="35"/>
      <c r="E9" s="33">
        <f>RAB!L28</f>
        <v>88525500</v>
      </c>
    </row>
    <row r="10" spans="1:5" ht="16.5">
      <c r="A10" s="110" t="s">
        <v>8</v>
      </c>
      <c r="B10" s="111" t="str">
        <f>RAB!B30</f>
        <v>PEKERJAAN BETON</v>
      </c>
      <c r="C10" s="34"/>
      <c r="D10" s="36"/>
      <c r="E10" s="33">
        <f>RAB!L50</f>
        <v>137715750</v>
      </c>
    </row>
    <row r="11" spans="1:5" s="5" customFormat="1" ht="16.5">
      <c r="A11" s="110" t="s">
        <v>10</v>
      </c>
      <c r="B11" s="111" t="str">
        <f>RAB!B52</f>
        <v xml:space="preserve">PEKERJAAN PASANGAN DINDING, LANTAI, PLESTERAN DAN ACIAN </v>
      </c>
      <c r="C11" s="37"/>
      <c r="D11" s="38"/>
      <c r="E11" s="39">
        <f>RAB!L67</f>
        <v>108441003.75</v>
      </c>
    </row>
    <row r="12" spans="1:5" s="5" customFormat="1" ht="16.5">
      <c r="A12" s="110" t="s">
        <v>11</v>
      </c>
      <c r="B12" s="111" t="str">
        <f>RAB!B69</f>
        <v>PEKERJAAN KUSEN, JENDELA &amp; PINTU</v>
      </c>
      <c r="C12" s="37"/>
      <c r="D12" s="38"/>
      <c r="E12" s="39">
        <f>RAB!L82</f>
        <v>51491900</v>
      </c>
    </row>
    <row r="13" spans="1:5" s="5" customFormat="1" ht="16.5">
      <c r="A13" s="110" t="s">
        <v>12</v>
      </c>
      <c r="B13" s="111" t="str">
        <f>RAB!B84</f>
        <v>PEKERJAAN PENGGANTUNG DAN KUNCI</v>
      </c>
      <c r="C13" s="37"/>
      <c r="D13" s="38"/>
      <c r="E13" s="39">
        <f>RAB!L101</f>
        <v>17919000</v>
      </c>
    </row>
    <row r="14" spans="1:5" s="5" customFormat="1" ht="16.5">
      <c r="A14" s="110" t="s">
        <v>36</v>
      </c>
      <c r="B14" s="111" t="str">
        <f>RAB!B103</f>
        <v xml:space="preserve">PEKERJAAN PLAFOND </v>
      </c>
      <c r="C14" s="37"/>
      <c r="D14" s="38"/>
      <c r="E14" s="39">
        <f>RAB!L107</f>
        <v>19568775</v>
      </c>
    </row>
    <row r="15" spans="1:5" s="5" customFormat="1" ht="16.5">
      <c r="A15" s="110" t="s">
        <v>37</v>
      </c>
      <c r="B15" s="111" t="str">
        <f>RAB!B109</f>
        <v>PEKERJAAN FINISHING</v>
      </c>
      <c r="C15" s="37"/>
      <c r="D15" s="38"/>
      <c r="E15" s="39">
        <f>RAB!L115</f>
        <v>29221231.707317077</v>
      </c>
    </row>
    <row r="16" spans="1:5" s="5" customFormat="1" ht="16.5">
      <c r="A16" s="110" t="s">
        <v>14</v>
      </c>
      <c r="B16" s="111" t="str">
        <f>RAB!B117</f>
        <v>PEKERJAAN SANITAIR</v>
      </c>
      <c r="C16" s="37"/>
      <c r="D16" s="38"/>
      <c r="E16" s="40">
        <f>RAB!L130</f>
        <v>16570000</v>
      </c>
    </row>
    <row r="17" spans="1:8" s="5" customFormat="1" ht="17.25" thickBot="1">
      <c r="A17" s="110" t="s">
        <v>55</v>
      </c>
      <c r="B17" s="111" t="str">
        <f>RAB!B132</f>
        <v>PEKERJAAN M &amp; E</v>
      </c>
      <c r="C17" s="37"/>
      <c r="D17" s="38"/>
      <c r="E17" s="41">
        <f>RAB!L150</f>
        <v>30274500</v>
      </c>
    </row>
    <row r="18" spans="1:8" s="5" customFormat="1" ht="18.75">
      <c r="A18" s="29"/>
      <c r="B18" s="30"/>
      <c r="C18" s="37"/>
      <c r="D18" s="42" t="s">
        <v>108</v>
      </c>
      <c r="E18" s="43">
        <f>SUM(E8:E17)</f>
        <v>525862760.45731705</v>
      </c>
    </row>
    <row r="19" spans="1:8" s="5" customFormat="1" ht="16.5">
      <c r="A19" s="44"/>
      <c r="B19" s="37"/>
      <c r="C19" s="37"/>
      <c r="D19" s="38"/>
      <c r="E19" s="39"/>
    </row>
    <row r="20" spans="1:8" s="149" customFormat="1" ht="16.5">
      <c r="A20" s="154" t="s">
        <v>4</v>
      </c>
      <c r="B20" s="151" t="str">
        <f>RAB!B152</f>
        <v>LANTAI  1</v>
      </c>
      <c r="C20" s="151"/>
      <c r="D20" s="152"/>
      <c r="E20" s="47"/>
    </row>
    <row r="21" spans="1:8" s="149" customFormat="1" ht="16.5">
      <c r="A21" s="166" t="s">
        <v>2</v>
      </c>
      <c r="B21" s="167" t="str">
        <f>RAB!B153</f>
        <v>PEKERJAAN BETON</v>
      </c>
      <c r="C21" s="151"/>
      <c r="D21" s="152"/>
      <c r="E21" s="47">
        <f>RAB!L166</f>
        <v>132473500</v>
      </c>
    </row>
    <row r="22" spans="1:8" s="149" customFormat="1" ht="16.5">
      <c r="A22" s="166" t="s">
        <v>4</v>
      </c>
      <c r="B22" s="167" t="str">
        <f>RAB!B168</f>
        <v xml:space="preserve">PEKERJAAN PASANGAN DINDING, LANTAI, PLESTERAN DAN ACIAN </v>
      </c>
      <c r="C22" s="151"/>
      <c r="D22" s="152"/>
      <c r="E22" s="47">
        <f>RAB!L183</f>
        <v>148008753.75</v>
      </c>
    </row>
    <row r="23" spans="1:8" s="149" customFormat="1" ht="16.5">
      <c r="A23" s="166" t="s">
        <v>8</v>
      </c>
      <c r="B23" s="167" t="str">
        <f>RAB!B185</f>
        <v>PEKERJAAN KUSEN, JENDELA &amp; PINTU</v>
      </c>
      <c r="C23" s="151"/>
      <c r="D23" s="152"/>
      <c r="E23" s="47">
        <f>RAB!L196</f>
        <v>64185200</v>
      </c>
    </row>
    <row r="24" spans="1:8" s="149" customFormat="1" ht="16.5">
      <c r="A24" s="166" t="s">
        <v>10</v>
      </c>
      <c r="B24" s="167" t="str">
        <f>RAB!B198</f>
        <v>PEKERJAAN PENGGANTUNG DAN KUNCI</v>
      </c>
      <c r="C24" s="151"/>
      <c r="D24" s="152"/>
      <c r="E24" s="47">
        <f>RAB!L211</f>
        <v>18395000</v>
      </c>
    </row>
    <row r="25" spans="1:8" s="149" customFormat="1" ht="16.5">
      <c r="A25" s="166" t="s">
        <v>11</v>
      </c>
      <c r="B25" s="167" t="str">
        <f>RAB!B213</f>
        <v xml:space="preserve">PEKERJAAN PLAFOND </v>
      </c>
      <c r="C25" s="151"/>
      <c r="D25" s="152"/>
      <c r="E25" s="47">
        <f>RAB!L217</f>
        <v>14480625</v>
      </c>
    </row>
    <row r="26" spans="1:8" s="149" customFormat="1" ht="16.5">
      <c r="A26" s="166" t="s">
        <v>12</v>
      </c>
      <c r="B26" s="167" t="str">
        <f>RAB!B219</f>
        <v>PEKERJAAN FINISHING</v>
      </c>
      <c r="C26" s="151"/>
      <c r="D26" s="152"/>
      <c r="E26" s="47">
        <f>RAB!L225</f>
        <v>31835558.139534887</v>
      </c>
    </row>
    <row r="27" spans="1:8" s="149" customFormat="1" ht="16.5">
      <c r="A27" s="166" t="s">
        <v>36</v>
      </c>
      <c r="B27" s="167" t="str">
        <f>RAB!B227</f>
        <v>PEKERJAAN SANITAIR</v>
      </c>
      <c r="C27" s="151"/>
      <c r="D27" s="152"/>
      <c r="E27" s="47">
        <f>RAB!L240</f>
        <v>29825000</v>
      </c>
    </row>
    <row r="28" spans="1:8" s="149" customFormat="1" ht="17.25" thickBot="1">
      <c r="A28" s="166" t="s">
        <v>37</v>
      </c>
      <c r="B28" s="167" t="str">
        <f>RAB!B242</f>
        <v>PEKERJAAN M &amp; E</v>
      </c>
      <c r="C28" s="151"/>
      <c r="D28" s="152"/>
      <c r="E28" s="119">
        <f>RAB!L256</f>
        <v>26927500</v>
      </c>
    </row>
    <row r="29" spans="1:8" s="149" customFormat="1" ht="18.75">
      <c r="A29" s="154"/>
      <c r="B29" s="151"/>
      <c r="C29" s="151"/>
      <c r="D29" s="153" t="s">
        <v>109</v>
      </c>
      <c r="E29" s="43">
        <f>SUM(E21:E28)</f>
        <v>466131136.88953489</v>
      </c>
    </row>
    <row r="30" spans="1:8" s="149" customFormat="1" ht="16.5">
      <c r="A30" s="154"/>
      <c r="B30" s="151"/>
      <c r="C30" s="151"/>
      <c r="D30" s="152"/>
      <c r="E30" s="47"/>
    </row>
    <row r="31" spans="1:8" s="5" customFormat="1" ht="18.75">
      <c r="A31" s="44" t="s">
        <v>8</v>
      </c>
      <c r="B31" s="37" t="str">
        <f>RAB!B258</f>
        <v>LANTAI  2</v>
      </c>
      <c r="C31" s="37"/>
      <c r="D31" s="46"/>
      <c r="E31" s="43"/>
      <c r="H31" s="10"/>
    </row>
    <row r="32" spans="1:8" s="5" customFormat="1" ht="16.5">
      <c r="A32" s="112" t="s">
        <v>2</v>
      </c>
      <c r="B32" s="117" t="str">
        <f>RAB!B259</f>
        <v>PEKERJAAN BETON</v>
      </c>
      <c r="C32" s="37"/>
      <c r="D32" s="46"/>
      <c r="E32" s="47">
        <f>RAB!L270</f>
        <v>110820500</v>
      </c>
      <c r="H32" s="10"/>
    </row>
    <row r="33" spans="1:8" s="5" customFormat="1" ht="16.5">
      <c r="A33" s="112" t="s">
        <v>4</v>
      </c>
      <c r="B33" s="117" t="str">
        <f>RAB!B272</f>
        <v xml:space="preserve">PEKERJAAN PASANGAN DINDING, LANTAI, PLESTERAN DAN ACIAN </v>
      </c>
      <c r="C33" s="37"/>
      <c r="D33" s="46"/>
      <c r="E33" s="47">
        <f>RAB!L284</f>
        <v>44122401.25</v>
      </c>
      <c r="H33" s="10"/>
    </row>
    <row r="34" spans="1:8" s="5" customFormat="1" ht="16.5">
      <c r="A34" s="112" t="s">
        <v>8</v>
      </c>
      <c r="B34" s="117" t="str">
        <f>RAB!B286</f>
        <v>PEKERJAAN KUSEN, JENDELA &amp; PINTU</v>
      </c>
      <c r="C34" s="37"/>
      <c r="D34" s="46"/>
      <c r="E34" s="47">
        <f>RAB!L294</f>
        <v>11824400</v>
      </c>
      <c r="H34" s="10"/>
    </row>
    <row r="35" spans="1:8" s="5" customFormat="1" ht="16.5">
      <c r="A35" s="112" t="s">
        <v>10</v>
      </c>
      <c r="B35" s="117" t="str">
        <f>RAB!B296</f>
        <v>PEKERJAAN PENGGANTUNG DAN KUNCI</v>
      </c>
      <c r="C35" s="37"/>
      <c r="D35" s="46"/>
      <c r="E35" s="47">
        <f>RAB!L302</f>
        <v>3990000</v>
      </c>
      <c r="H35" s="10"/>
    </row>
    <row r="36" spans="1:8" s="5" customFormat="1" ht="16.5">
      <c r="A36" s="112" t="s">
        <v>11</v>
      </c>
      <c r="B36" s="117" t="str">
        <f>RAB!B304</f>
        <v xml:space="preserve">PEKERJAAN PLAFOND </v>
      </c>
      <c r="C36" s="37"/>
      <c r="D36" s="46"/>
      <c r="E36" s="47">
        <f>RAB!L307</f>
        <v>9255125</v>
      </c>
      <c r="H36" s="10"/>
    </row>
    <row r="37" spans="1:8" s="5" customFormat="1" ht="16.5">
      <c r="A37" s="112" t="s">
        <v>12</v>
      </c>
      <c r="B37" s="117" t="str">
        <f>RAB!B309</f>
        <v>PEKERJAAN ATAP</v>
      </c>
      <c r="C37" s="37"/>
      <c r="D37" s="46"/>
      <c r="E37" s="47">
        <f>RAB!L315</f>
        <v>36670000</v>
      </c>
      <c r="H37" s="10"/>
    </row>
    <row r="38" spans="1:8" s="5" customFormat="1" ht="16.5">
      <c r="A38" s="112" t="s">
        <v>36</v>
      </c>
      <c r="B38" s="117" t="str">
        <f>RAB!B317</f>
        <v>PEKERJAAN FINISHING</v>
      </c>
      <c r="C38" s="37"/>
      <c r="D38" s="46"/>
      <c r="E38" s="47">
        <f>RAB!L324</f>
        <v>12517858.139534885</v>
      </c>
      <c r="H38" s="10"/>
    </row>
    <row r="39" spans="1:8" s="5" customFormat="1" ht="16.5">
      <c r="A39" s="112" t="s">
        <v>37</v>
      </c>
      <c r="B39" s="117" t="str">
        <f>RAB!B326</f>
        <v>PEKERJAAN SANITAIR</v>
      </c>
      <c r="C39" s="37"/>
      <c r="D39" s="46"/>
      <c r="E39" s="47">
        <f>RAB!L337</f>
        <v>9131000</v>
      </c>
      <c r="H39" s="10"/>
    </row>
    <row r="40" spans="1:8" s="5" customFormat="1" ht="17.25" thickBot="1">
      <c r="A40" s="112" t="s">
        <v>14</v>
      </c>
      <c r="B40" s="117" t="str">
        <f>RAB!B339</f>
        <v>PEKERJAAN M &amp; E</v>
      </c>
      <c r="C40" s="37"/>
      <c r="D40" s="46"/>
      <c r="E40" s="119">
        <f>RAB!L352</f>
        <v>11509000</v>
      </c>
      <c r="H40" s="10"/>
    </row>
    <row r="41" spans="1:8" s="5" customFormat="1" ht="18.75">
      <c r="A41" s="44"/>
      <c r="B41" s="116"/>
      <c r="C41" s="37"/>
      <c r="D41" s="46" t="s">
        <v>123</v>
      </c>
      <c r="E41" s="43">
        <f>SUM(E32:E40)</f>
        <v>249840284.38953489</v>
      </c>
      <c r="H41" s="10"/>
    </row>
    <row r="42" spans="1:8" s="5" customFormat="1" ht="16.5">
      <c r="A42" s="44"/>
      <c r="B42" s="37"/>
      <c r="C42" s="37"/>
      <c r="D42" s="45"/>
      <c r="E42" s="47"/>
      <c r="H42" s="11"/>
    </row>
    <row r="43" spans="1:8" s="5" customFormat="1" ht="19.5" thickBot="1">
      <c r="A43" s="44" t="s">
        <v>10</v>
      </c>
      <c r="B43" s="109" t="s">
        <v>104</v>
      </c>
      <c r="C43" s="37"/>
      <c r="D43" s="45"/>
      <c r="E43" s="48"/>
    </row>
    <row r="44" spans="1:8" s="5" customFormat="1" ht="18.75">
      <c r="A44" s="44"/>
      <c r="B44" s="37"/>
      <c r="C44" s="37"/>
      <c r="D44" s="46" t="s">
        <v>233</v>
      </c>
      <c r="E44" s="43">
        <f>RAB!L365</f>
        <v>86640000</v>
      </c>
    </row>
    <row r="45" spans="1:8" s="5" customFormat="1" ht="16.5">
      <c r="A45" s="44"/>
      <c r="B45" s="37"/>
      <c r="C45" s="37"/>
      <c r="D45" s="45"/>
      <c r="E45" s="39"/>
    </row>
    <row r="46" spans="1:8" s="6" customFormat="1" ht="16.5" thickBot="1">
      <c r="A46" s="49"/>
      <c r="B46" s="50"/>
      <c r="C46" s="50"/>
      <c r="D46" s="51"/>
      <c r="E46" s="52"/>
    </row>
    <row r="47" spans="1:8" s="7" customFormat="1" ht="22.5" customHeight="1">
      <c r="A47" s="53"/>
      <c r="B47" s="54"/>
      <c r="C47" s="54"/>
      <c r="D47" s="55" t="s">
        <v>234</v>
      </c>
      <c r="E47" s="56">
        <f>E18+E29+E41+E44</f>
        <v>1328474181.7363868</v>
      </c>
    </row>
    <row r="48" spans="1:8" s="8" customFormat="1" ht="24.75" customHeight="1" thickBot="1">
      <c r="A48" s="57"/>
      <c r="B48" s="58"/>
      <c r="C48" s="58"/>
      <c r="D48" s="59" t="s">
        <v>74</v>
      </c>
      <c r="E48" s="120">
        <f>ROUND(E47,-6)</f>
        <v>1328000000</v>
      </c>
      <c r="H48" s="118"/>
    </row>
    <row r="49" spans="1:5" s="7" customFormat="1" ht="15" customHeight="1">
      <c r="A49" s="60"/>
      <c r="B49" s="60"/>
      <c r="C49" s="60"/>
      <c r="D49" s="61"/>
      <c r="E49" s="62"/>
    </row>
    <row r="50" spans="1:5" s="63" customFormat="1" ht="17.25" customHeight="1">
      <c r="A50" s="65"/>
      <c r="B50" s="121"/>
      <c r="C50" s="65"/>
      <c r="D50" s="122"/>
      <c r="E50" s="64"/>
    </row>
    <row r="51" spans="1:5" s="63" customFormat="1" ht="15.75">
      <c r="A51" s="65"/>
      <c r="B51" s="65"/>
      <c r="C51" s="65"/>
      <c r="E51" s="64"/>
    </row>
    <row r="52" spans="1:5" s="63" customFormat="1" ht="15.75">
      <c r="A52" s="65"/>
      <c r="B52" s="65"/>
      <c r="C52" s="65"/>
      <c r="E52" s="64"/>
    </row>
  </sheetData>
  <mergeCells count="2">
    <mergeCell ref="A5:A6"/>
    <mergeCell ref="B5:D6"/>
  </mergeCells>
  <printOptions horizontalCentered="1"/>
  <pageMargins left="0" right="0" top="1" bottom="0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</vt:lpstr>
      <vt:lpstr>REKAP</vt:lpstr>
      <vt:lpstr>RAB!Print_Area</vt:lpstr>
      <vt:lpstr>REKAP!Print_Area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karsa</dc:creator>
  <cp:lastModifiedBy>Windows User</cp:lastModifiedBy>
  <cp:lastPrinted>2018-03-28T15:48:01Z</cp:lastPrinted>
  <dcterms:created xsi:type="dcterms:W3CDTF">2004-03-16T05:45:12Z</dcterms:created>
  <dcterms:modified xsi:type="dcterms:W3CDTF">2018-04-18T03:40:10Z</dcterms:modified>
</cp:coreProperties>
</file>